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2.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3.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4.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5.xml" ContentType="application/vnd.openxmlformats-officedocument.drawing+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6.xml" ContentType="application/vnd.openxmlformats-officedocument.drawing+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charts/chart55.xml" ContentType="application/vnd.openxmlformats-officedocument.drawingml.chart+xml"/>
  <Override PartName="/xl/charts/style55.xml" ContentType="application/vnd.ms-office.chartstyle+xml"/>
  <Override PartName="/xl/charts/colors55.xml" ContentType="application/vnd.ms-office.chartcolorstyle+xml"/>
  <Override PartName="/xl/charts/chart56.xml" ContentType="application/vnd.openxmlformats-officedocument.drawingml.chart+xml"/>
  <Override PartName="/xl/charts/style56.xml" ContentType="application/vnd.ms-office.chartstyle+xml"/>
  <Override PartName="/xl/charts/colors56.xml" ContentType="application/vnd.ms-office.chartcolorstyle+xml"/>
  <Override PartName="/xl/charts/chart57.xml" ContentType="application/vnd.openxmlformats-officedocument.drawingml.chart+xml"/>
  <Override PartName="/xl/charts/style57.xml" ContentType="application/vnd.ms-office.chartstyle+xml"/>
  <Override PartName="/xl/charts/colors57.xml" ContentType="application/vnd.ms-office.chartcolorstyle+xml"/>
  <Override PartName="/xl/charts/chart58.xml" ContentType="application/vnd.openxmlformats-officedocument.drawingml.chart+xml"/>
  <Override PartName="/xl/charts/style58.xml" ContentType="application/vnd.ms-office.chartstyle+xml"/>
  <Override PartName="/xl/charts/colors5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defaultThemeVersion="166925"/>
  <mc:AlternateContent xmlns:mc="http://schemas.openxmlformats.org/markup-compatibility/2006">
    <mc:Choice Requires="x15">
      <x15ac:absPath xmlns:x15ac="http://schemas.microsoft.com/office/spreadsheetml/2010/11/ac" url="https://arneiljohnston.sharepoint.com/sites/ArneilJohnston/2023/2023 AJ Assignments/1603 Moray Council Housing Need and Demand Assessment/2023-10-07 Moray 2023 HNDA Study CHMA Amendments/"/>
    </mc:Choice>
  </mc:AlternateContent>
  <xr:revisionPtr revIDLastSave="6924" documentId="8_{61DBEF6C-B856-4EF2-8923-68EB9CA1C727}" xr6:coauthVersionLast="47" xr6:coauthVersionMax="47" xr10:uidLastSave="{92010A2A-8CBF-4D59-891B-876A30EA143D}"/>
  <bookViews>
    <workbookView xWindow="-120" yWindow="-120" windowWidth="29040" windowHeight="15840" firstSheet="4" activeTab="8" xr2:uid="{42482864-BC52-4797-AD14-391DCD92511C}"/>
  </bookViews>
  <sheets>
    <sheet name="Contents" sheetId="2" r:id="rId1"/>
    <sheet name="Key Findings" sheetId="7" state="hidden" r:id="rId2"/>
    <sheet name="Sheet1" sheetId="17" state="hidden" r:id="rId3"/>
    <sheet name="1.1 Population Projections" sheetId="9" r:id="rId4"/>
    <sheet name="1.2-1.4 Household Projections" sheetId="13" r:id="rId5"/>
    <sheet name="Sheet2" sheetId="18" state="hidden" r:id="rId6"/>
    <sheet name="1.5 - 1.9 Housing Affordability" sheetId="14" r:id="rId7"/>
    <sheet name="1.10-1.26 Economic Data" sheetId="15" r:id="rId8"/>
    <sheet name="1.27-1.31 House Sales&amp;Prices " sheetId="19" r:id="rId9"/>
    <sheet name="Economic Data" sheetId="16" state="hidden" r:id="rId10"/>
  </sheets>
  <externalReferences>
    <externalReference r:id="rId11"/>
    <externalReference r:id="rId12"/>
    <externalReference r:id="rId13"/>
    <externalReference r:id="rId14"/>
    <externalReference r:id="rId15"/>
    <externalReference r:id="rId16"/>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57" i="9" l="1"/>
  <c r="E161" i="9"/>
  <c r="E159" i="9"/>
  <c r="E149" i="9"/>
  <c r="E125" i="9"/>
  <c r="P148" i="14"/>
  <c r="P147" i="14"/>
  <c r="P146" i="14"/>
  <c r="O146" i="14"/>
  <c r="N146" i="14"/>
  <c r="M146" i="14"/>
  <c r="D27" i="14"/>
  <c r="C27" i="14"/>
  <c r="E20" i="9"/>
  <c r="E7" i="2" l="1"/>
  <c r="I84" i="13" l="1"/>
  <c r="D263" i="13"/>
  <c r="C263" i="13"/>
  <c r="E263" i="13"/>
  <c r="G82" i="13"/>
  <c r="E82" i="13"/>
  <c r="J83" i="13"/>
  <c r="J84" i="13"/>
  <c r="J85" i="13"/>
  <c r="J86" i="13"/>
  <c r="J87" i="13"/>
  <c r="I82" i="13"/>
  <c r="J82" i="13"/>
  <c r="I92" i="13"/>
  <c r="C93" i="14" l="1"/>
  <c r="C62" i="14" l="1"/>
  <c r="L243" i="14"/>
  <c r="K243" i="14"/>
  <c r="L242" i="14"/>
  <c r="K242" i="14"/>
  <c r="L241" i="14"/>
  <c r="K241" i="14"/>
  <c r="L240" i="14"/>
  <c r="K240" i="14"/>
  <c r="L239" i="14"/>
  <c r="K239" i="14"/>
  <c r="L237" i="14"/>
  <c r="K237" i="14"/>
  <c r="E38" i="14" l="1"/>
  <c r="C76" i="13" l="1"/>
  <c r="H305" i="13"/>
  <c r="I299" i="13"/>
  <c r="H299" i="13"/>
  <c r="H293" i="13"/>
  <c r="G293" i="13"/>
  <c r="I293" i="13" s="1"/>
  <c r="G288" i="13"/>
  <c r="D282" i="13"/>
  <c r="C282" i="13"/>
  <c r="E107" i="2"/>
  <c r="E106" i="2"/>
  <c r="E104" i="2"/>
  <c r="E103" i="2"/>
  <c r="E102" i="2"/>
  <c r="E101" i="2"/>
  <c r="E100" i="2"/>
  <c r="E99" i="2"/>
  <c r="E98" i="2"/>
  <c r="E97" i="2"/>
  <c r="E96" i="2"/>
  <c r="E94" i="2"/>
  <c r="E95" i="2"/>
  <c r="E93" i="2"/>
  <c r="E92" i="2"/>
  <c r="E91" i="2"/>
  <c r="E90" i="2"/>
  <c r="E83" i="2"/>
  <c r="E81" i="2"/>
  <c r="E78" i="2"/>
  <c r="E77" i="2"/>
  <c r="E76" i="2"/>
  <c r="E75" i="2"/>
  <c r="E74" i="2"/>
  <c r="E73" i="2"/>
  <c r="E70" i="2"/>
  <c r="B112" i="14"/>
  <c r="E69" i="2"/>
  <c r="E66" i="2"/>
  <c r="E65" i="2"/>
  <c r="E61" i="2"/>
  <c r="E58" i="2"/>
  <c r="E56" i="2"/>
  <c r="E54" i="2"/>
  <c r="E53" i="2"/>
  <c r="E52" i="2"/>
  <c r="E51" i="2"/>
  <c r="E50" i="2"/>
  <c r="E49" i="2"/>
  <c r="E48" i="2"/>
  <c r="E47" i="2"/>
  <c r="E46" i="2"/>
  <c r="E45" i="2"/>
  <c r="E44" i="2"/>
  <c r="E43" i="2"/>
  <c r="E42" i="2"/>
  <c r="E41" i="2"/>
  <c r="E40" i="2"/>
  <c r="E39" i="2"/>
  <c r="E38" i="2"/>
  <c r="E37" i="2"/>
  <c r="E36" i="2"/>
  <c r="E35" i="2"/>
  <c r="E34" i="2"/>
  <c r="E33" i="2"/>
  <c r="E31" i="2"/>
  <c r="E30" i="2"/>
  <c r="E29" i="2"/>
  <c r="E28" i="2"/>
  <c r="E25" i="2"/>
  <c r="E24" i="2"/>
  <c r="E23" i="2"/>
  <c r="E22" i="2"/>
  <c r="E21" i="2"/>
  <c r="E13" i="2"/>
  <c r="E12" i="2"/>
  <c r="E9" i="2"/>
  <c r="E8" i="2"/>
  <c r="J223" i="15"/>
  <c r="J222" i="15"/>
  <c r="J218" i="15"/>
  <c r="J217" i="15"/>
  <c r="D291" i="9"/>
  <c r="C291" i="9"/>
  <c r="D324" i="9"/>
  <c r="C324" i="9"/>
  <c r="N214" i="9"/>
  <c r="M218" i="9" s="1"/>
  <c r="M214" i="9"/>
  <c r="C208" i="9"/>
  <c r="E116" i="9"/>
  <c r="E107" i="9"/>
  <c r="E114" i="9"/>
  <c r="E105" i="9"/>
  <c r="E149" i="15"/>
  <c r="F149" i="15"/>
  <c r="E150" i="15"/>
  <c r="F150" i="15"/>
  <c r="E151" i="15"/>
  <c r="F151" i="15"/>
  <c r="E152" i="15"/>
  <c r="F152" i="15"/>
  <c r="F153" i="15"/>
  <c r="E153" i="15"/>
  <c r="E11" i="13"/>
  <c r="F11" i="13" s="1"/>
  <c r="E181" i="14"/>
  <c r="D272" i="13"/>
  <c r="E272" i="13"/>
  <c r="F272" i="13"/>
  <c r="G272" i="13"/>
  <c r="H272" i="13"/>
  <c r="I272" i="13"/>
  <c r="C272" i="13"/>
  <c r="E123" i="9" l="1"/>
  <c r="I223" i="15"/>
  <c r="I218" i="15"/>
  <c r="I217" i="15"/>
  <c r="D212" i="15" l="1"/>
  <c r="E212" i="15"/>
  <c r="F212" i="15"/>
  <c r="G212" i="15"/>
  <c r="H212" i="15"/>
  <c r="I212" i="15"/>
  <c r="J212" i="15"/>
  <c r="K212" i="15"/>
  <c r="L212" i="15"/>
  <c r="M212" i="15"/>
  <c r="N212" i="15"/>
  <c r="O212" i="15"/>
  <c r="P212" i="15"/>
  <c r="Q212" i="15"/>
  <c r="R212" i="15"/>
  <c r="S212" i="15"/>
  <c r="T212" i="15"/>
  <c r="C212" i="15"/>
  <c r="D192" i="15"/>
  <c r="C192" i="15"/>
  <c r="D191" i="15"/>
  <c r="C191" i="15"/>
  <c r="D177" i="15"/>
  <c r="J267" i="13" l="1"/>
  <c r="K267" i="13"/>
  <c r="J268" i="13"/>
  <c r="K268" i="13"/>
  <c r="J269" i="13"/>
  <c r="K269" i="13"/>
  <c r="J270" i="13"/>
  <c r="K270" i="13"/>
  <c r="J271" i="13"/>
  <c r="K271" i="13"/>
  <c r="J272" i="13"/>
  <c r="K272" i="13"/>
  <c r="C230" i="14"/>
  <c r="D230" i="14"/>
  <c r="C231" i="14"/>
  <c r="D231" i="14"/>
  <c r="C232" i="14"/>
  <c r="D232" i="14"/>
  <c r="C226" i="14"/>
  <c r="D226" i="14"/>
  <c r="E156" i="14"/>
  <c r="D156" i="14"/>
  <c r="C156" i="14"/>
  <c r="H140" i="14"/>
  <c r="J140" i="14" s="1"/>
  <c r="H139" i="14"/>
  <c r="J139" i="14" s="1"/>
  <c r="H132" i="14"/>
  <c r="H125" i="14"/>
  <c r="H118" i="14"/>
  <c r="C111" i="14" s="1"/>
  <c r="D111" i="14" l="1"/>
  <c r="I125" i="14"/>
  <c r="E111" i="14"/>
  <c r="I132" i="14"/>
  <c r="C233" i="14"/>
  <c r="D233" i="14"/>
  <c r="F156" i="14"/>
  <c r="K156" i="14" s="1"/>
  <c r="G156" i="14"/>
  <c r="L156" i="14" s="1"/>
  <c r="G111" i="14" l="1"/>
  <c r="F111" i="14"/>
  <c r="D100" i="15" a="1"/>
  <c r="D100" i="15" s="1"/>
  <c r="F101" i="15" s="1"/>
  <c r="C100" i="15" a="1"/>
  <c r="F55" i="15"/>
  <c r="E55" i="15"/>
  <c r="F71" i="15"/>
  <c r="E71" i="15"/>
  <c r="F70" i="15"/>
  <c r="E70" i="15"/>
  <c r="F69" i="15"/>
  <c r="E69" i="15"/>
  <c r="F68" i="15"/>
  <c r="E68" i="15"/>
  <c r="F67" i="15"/>
  <c r="E67" i="15"/>
  <c r="F66" i="15"/>
  <c r="E66" i="15"/>
  <c r="F65" i="15"/>
  <c r="E65" i="15"/>
  <c r="F64" i="15"/>
  <c r="E64" i="15"/>
  <c r="F63" i="15"/>
  <c r="E63" i="15"/>
  <c r="F62" i="15"/>
  <c r="E62" i="15"/>
  <c r="F61" i="15"/>
  <c r="E61" i="15"/>
  <c r="F60" i="15"/>
  <c r="E60" i="15"/>
  <c r="F59" i="15"/>
  <c r="E59" i="15"/>
  <c r="F58" i="15"/>
  <c r="E58" i="15"/>
  <c r="F57" i="15"/>
  <c r="E57" i="15"/>
  <c r="F56" i="15"/>
  <c r="E56" i="15"/>
  <c r="D26" i="15"/>
  <c r="C26" i="15"/>
  <c r="D25" i="15"/>
  <c r="C25" i="15"/>
  <c r="E9" i="15"/>
  <c r="F9" i="15"/>
  <c r="E10" i="15"/>
  <c r="F10" i="15"/>
  <c r="E11" i="15"/>
  <c r="F11" i="15"/>
  <c r="E12" i="15"/>
  <c r="F12" i="15"/>
  <c r="E13" i="15"/>
  <c r="F13" i="15"/>
  <c r="E14" i="15"/>
  <c r="F14" i="15"/>
  <c r="E15" i="15"/>
  <c r="F15" i="15"/>
  <c r="E16" i="15"/>
  <c r="F16" i="15"/>
  <c r="E17" i="15"/>
  <c r="F17" i="15"/>
  <c r="E18" i="15"/>
  <c r="F18" i="15"/>
  <c r="E19" i="15"/>
  <c r="F19" i="15"/>
  <c r="E20" i="15"/>
  <c r="F20" i="15"/>
  <c r="E21" i="15"/>
  <c r="F21" i="15"/>
  <c r="E22" i="15"/>
  <c r="F22" i="15"/>
  <c r="E23" i="15"/>
  <c r="F23" i="15"/>
  <c r="E24" i="15"/>
  <c r="F24" i="15"/>
  <c r="F8" i="15"/>
  <c r="E8" i="15"/>
  <c r="C100" i="15" l="1"/>
  <c r="E101" i="15" s="1"/>
  <c r="C142" i="15"/>
  <c r="E106" i="15"/>
  <c r="F106" i="15"/>
  <c r="E102" i="15"/>
  <c r="E104" i="15"/>
  <c r="E111" i="15"/>
  <c r="F111" i="15"/>
  <c r="E112" i="15"/>
  <c r="E107" i="15"/>
  <c r="E114" i="15"/>
  <c r="F107" i="15"/>
  <c r="F114" i="15"/>
  <c r="F102" i="15"/>
  <c r="E108" i="15"/>
  <c r="E115" i="15"/>
  <c r="E103" i="15"/>
  <c r="E110" i="15"/>
  <c r="F115" i="15"/>
  <c r="F103" i="15"/>
  <c r="F110" i="15"/>
  <c r="E116" i="15"/>
  <c r="F104" i="15"/>
  <c r="F108" i="15"/>
  <c r="F112" i="15"/>
  <c r="F116" i="15"/>
  <c r="E105" i="15"/>
  <c r="E109" i="15"/>
  <c r="E113" i="15"/>
  <c r="E117" i="15"/>
  <c r="F105" i="15"/>
  <c r="F109" i="15"/>
  <c r="F113" i="15"/>
  <c r="F117" i="15"/>
  <c r="E81" i="14" l="1"/>
  <c r="E80" i="14"/>
  <c r="E79" i="14"/>
  <c r="E78" i="14"/>
  <c r="E77" i="14"/>
  <c r="E76" i="14"/>
  <c r="E75" i="14"/>
  <c r="E74" i="14"/>
  <c r="E73" i="14"/>
  <c r="E72" i="14"/>
  <c r="E71" i="14"/>
  <c r="E52" i="14"/>
  <c r="E53" i="14"/>
  <c r="E54" i="14"/>
  <c r="E55" i="14"/>
  <c r="E56" i="14"/>
  <c r="E57" i="14"/>
  <c r="E58" i="14"/>
  <c r="E59" i="14"/>
  <c r="E60" i="14"/>
  <c r="E61" i="14"/>
  <c r="E51" i="14"/>
  <c r="E45" i="14"/>
  <c r="E44" i="14"/>
  <c r="E33" i="14"/>
  <c r="E32" i="14"/>
  <c r="F9" i="14"/>
  <c r="F10" i="14"/>
  <c r="F11" i="14"/>
  <c r="F12" i="14"/>
  <c r="F13" i="14"/>
  <c r="F14" i="14"/>
  <c r="F15" i="14"/>
  <c r="F16" i="14"/>
  <c r="F17" i="14"/>
  <c r="F18" i="14"/>
  <c r="F19" i="14"/>
  <c r="F20" i="14"/>
  <c r="F21" i="14"/>
  <c r="F22" i="14"/>
  <c r="F23" i="14"/>
  <c r="F24" i="14"/>
  <c r="F8" i="14"/>
  <c r="E9" i="14"/>
  <c r="E10" i="14"/>
  <c r="E11" i="14"/>
  <c r="E12" i="14"/>
  <c r="E13" i="14"/>
  <c r="E14" i="14"/>
  <c r="E15" i="14"/>
  <c r="E16" i="14"/>
  <c r="E17" i="14"/>
  <c r="E18" i="14"/>
  <c r="E19" i="14"/>
  <c r="E20" i="14"/>
  <c r="E21" i="14"/>
  <c r="E22" i="14"/>
  <c r="E23" i="14"/>
  <c r="E24" i="14"/>
  <c r="E8" i="14"/>
  <c r="E39" i="14"/>
  <c r="D26" i="14"/>
  <c r="C26" i="14"/>
  <c r="D25" i="14"/>
  <c r="C25" i="14"/>
  <c r="B8" i="14"/>
  <c r="B9" i="14" s="1"/>
  <c r="B10" i="14" s="1"/>
  <c r="B11" i="14" s="1"/>
  <c r="B12" i="14" s="1"/>
  <c r="B13" i="14" s="1"/>
  <c r="B14" i="14" s="1"/>
  <c r="B15" i="14" s="1"/>
  <c r="B16" i="14" s="1"/>
  <c r="B17" i="14" s="1"/>
  <c r="B18" i="14" s="1"/>
  <c r="B19" i="14" s="1"/>
  <c r="B20" i="14" s="1"/>
  <c r="B21" i="14" s="1"/>
  <c r="B22" i="14" s="1"/>
  <c r="B23" i="14" s="1"/>
  <c r="B24" i="14" s="1"/>
  <c r="E64" i="13"/>
  <c r="E65" i="13"/>
  <c r="E63" i="13"/>
  <c r="E40" i="13"/>
  <c r="E41" i="13"/>
  <c r="E42" i="13"/>
  <c r="E43" i="13"/>
  <c r="E44" i="13"/>
  <c r="E45" i="13"/>
  <c r="E46" i="13"/>
  <c r="E47" i="13"/>
  <c r="E48" i="13"/>
  <c r="E49" i="13"/>
  <c r="E50" i="13"/>
  <c r="E51" i="13"/>
  <c r="E52" i="13"/>
  <c r="E53" i="13"/>
  <c r="E54" i="13"/>
  <c r="E55" i="13"/>
  <c r="E56" i="13"/>
  <c r="E57" i="13"/>
  <c r="E58" i="13"/>
  <c r="E39" i="13"/>
  <c r="F214" i="13"/>
  <c r="G214" i="13"/>
  <c r="H214" i="13"/>
  <c r="E213" i="13"/>
  <c r="D213" i="13"/>
  <c r="C213" i="13"/>
  <c r="E176" i="13"/>
  <c r="D176" i="13"/>
  <c r="C176" i="13"/>
  <c r="H217" i="13"/>
  <c r="G217" i="13"/>
  <c r="F217" i="13"/>
  <c r="H216" i="13"/>
  <c r="G216" i="13"/>
  <c r="F216" i="13"/>
  <c r="H215" i="13"/>
  <c r="G215" i="13"/>
  <c r="F215" i="13"/>
  <c r="H180" i="13"/>
  <c r="G180" i="13"/>
  <c r="F180" i="13"/>
  <c r="H179" i="13"/>
  <c r="G179" i="13"/>
  <c r="F179" i="13"/>
  <c r="H178" i="13"/>
  <c r="G178" i="13"/>
  <c r="F178" i="13"/>
  <c r="H177" i="13"/>
  <c r="G177" i="13"/>
  <c r="F177" i="13"/>
  <c r="E140" i="13"/>
  <c r="D140" i="13"/>
  <c r="C140" i="13"/>
  <c r="H144" i="13"/>
  <c r="G144" i="13"/>
  <c r="F144" i="13"/>
  <c r="H143" i="13"/>
  <c r="G143" i="13"/>
  <c r="F143" i="13"/>
  <c r="H142" i="13"/>
  <c r="G142" i="13"/>
  <c r="F142" i="13"/>
  <c r="H141" i="13"/>
  <c r="G141" i="13"/>
  <c r="F141" i="13"/>
  <c r="I103" i="13"/>
  <c r="I104" i="13"/>
  <c r="I105" i="13"/>
  <c r="I106" i="13"/>
  <c r="I102" i="13"/>
  <c r="H103" i="13"/>
  <c r="H104" i="13"/>
  <c r="H105" i="13"/>
  <c r="H106" i="13"/>
  <c r="H102" i="13"/>
  <c r="I93" i="13"/>
  <c r="I94" i="13"/>
  <c r="I95" i="13"/>
  <c r="I96" i="13"/>
  <c r="H93" i="13"/>
  <c r="H94" i="13"/>
  <c r="H95" i="13"/>
  <c r="H96" i="13"/>
  <c r="H92" i="13"/>
  <c r="D107" i="13"/>
  <c r="E107" i="13"/>
  <c r="F107" i="13"/>
  <c r="G107" i="13"/>
  <c r="C107" i="13"/>
  <c r="D62" i="14" l="1"/>
  <c r="F58" i="14"/>
  <c r="F57" i="14"/>
  <c r="F79" i="14"/>
  <c r="F75" i="14"/>
  <c r="F55" i="14"/>
  <c r="F56" i="14"/>
  <c r="F54" i="14"/>
  <c r="F72" i="14"/>
  <c r="F76" i="14"/>
  <c r="F80" i="14"/>
  <c r="F71" i="14"/>
  <c r="F61" i="14"/>
  <c r="F53" i="14"/>
  <c r="F60" i="14"/>
  <c r="F52" i="14"/>
  <c r="F73" i="14"/>
  <c r="F77" i="14"/>
  <c r="F81" i="14"/>
  <c r="F59" i="14"/>
  <c r="D82" i="14"/>
  <c r="F74" i="14"/>
  <c r="F78" i="14"/>
  <c r="G213" i="13"/>
  <c r="F57" i="13"/>
  <c r="F41" i="13"/>
  <c r="F56" i="13"/>
  <c r="F55" i="13"/>
  <c r="F47" i="13"/>
  <c r="F54" i="13"/>
  <c r="F46" i="13"/>
  <c r="F52" i="13"/>
  <c r="F44" i="13"/>
  <c r="F53" i="13"/>
  <c r="F45" i="13"/>
  <c r="F39" i="13"/>
  <c r="F51" i="13"/>
  <c r="F43" i="13"/>
  <c r="F58" i="13"/>
  <c r="F50" i="13"/>
  <c r="F42" i="13"/>
  <c r="F49" i="13"/>
  <c r="F48" i="13"/>
  <c r="F40" i="13"/>
  <c r="F213" i="13"/>
  <c r="H213" i="13"/>
  <c r="F176" i="13"/>
  <c r="H176" i="13"/>
  <c r="I107" i="13"/>
  <c r="H107" i="13"/>
  <c r="G176" i="13"/>
  <c r="G140" i="13"/>
  <c r="H140" i="13"/>
  <c r="F140" i="13"/>
  <c r="F51" i="14" l="1"/>
  <c r="I86" i="13"/>
  <c r="G86" i="13"/>
  <c r="E86" i="13"/>
  <c r="E87" i="13"/>
  <c r="G87" i="13"/>
  <c r="I85" i="13"/>
  <c r="I87" i="13"/>
  <c r="G85" i="13"/>
  <c r="E85" i="13"/>
  <c r="C300" i="9" l="1"/>
  <c r="D300" i="9"/>
  <c r="C301" i="9"/>
  <c r="D301" i="9"/>
  <c r="C302" i="9"/>
  <c r="D302" i="9"/>
  <c r="C303" i="9"/>
  <c r="D303" i="9"/>
  <c r="C304" i="9"/>
  <c r="D304" i="9"/>
  <c r="C305" i="9"/>
  <c r="D305" i="9"/>
  <c r="C306" i="9"/>
  <c r="D306" i="9"/>
  <c r="C307" i="9"/>
  <c r="D307" i="9"/>
  <c r="C308" i="9"/>
  <c r="D308" i="9"/>
  <c r="C309" i="9"/>
  <c r="D309" i="9"/>
  <c r="C310" i="9"/>
  <c r="D310" i="9"/>
  <c r="C311" i="9"/>
  <c r="D311" i="9"/>
  <c r="C312" i="9"/>
  <c r="D312" i="9"/>
  <c r="C313" i="9"/>
  <c r="D313" i="9"/>
  <c r="C314" i="9"/>
  <c r="D314" i="9"/>
  <c r="C315" i="9"/>
  <c r="D315" i="9"/>
  <c r="C316" i="9"/>
  <c r="D316" i="9"/>
  <c r="C317" i="9"/>
  <c r="D317" i="9"/>
  <c r="C318" i="9"/>
  <c r="D318" i="9"/>
  <c r="C319" i="9"/>
  <c r="D319" i="9"/>
  <c r="C320" i="9"/>
  <c r="D320" i="9"/>
  <c r="C321" i="9"/>
  <c r="D321" i="9"/>
  <c r="C322" i="9"/>
  <c r="D322" i="9"/>
  <c r="C323" i="9"/>
  <c r="D323" i="9"/>
  <c r="D299" i="9"/>
  <c r="C299" i="9"/>
  <c r="F266" i="9" l="1"/>
  <c r="F267" i="9"/>
  <c r="F268" i="9"/>
  <c r="F269" i="9"/>
  <c r="F270" i="9"/>
  <c r="F271" i="9"/>
  <c r="F272" i="9"/>
  <c r="F273" i="9"/>
  <c r="D290" i="9" s="1"/>
  <c r="F274" i="9"/>
  <c r="F275" i="9"/>
  <c r="F276" i="9"/>
  <c r="F277" i="9"/>
  <c r="F278" i="9"/>
  <c r="F279" i="9"/>
  <c r="F280" i="9"/>
  <c r="F281" i="9"/>
  <c r="F282" i="9"/>
  <c r="F283" i="9"/>
  <c r="F284" i="9"/>
  <c r="F285" i="9"/>
  <c r="F286" i="9"/>
  <c r="F287" i="9"/>
  <c r="F288" i="9"/>
  <c r="F289" i="9"/>
  <c r="F265" i="9"/>
  <c r="E266" i="9"/>
  <c r="E267" i="9"/>
  <c r="E268" i="9"/>
  <c r="E269" i="9"/>
  <c r="E270" i="9"/>
  <c r="E271" i="9"/>
  <c r="E272" i="9"/>
  <c r="E273" i="9"/>
  <c r="E274" i="9"/>
  <c r="E275" i="9"/>
  <c r="E276" i="9"/>
  <c r="E277" i="9"/>
  <c r="E278" i="9"/>
  <c r="E279" i="9"/>
  <c r="E280" i="9"/>
  <c r="E281" i="9"/>
  <c r="E282" i="9"/>
  <c r="E283" i="9"/>
  <c r="E284" i="9"/>
  <c r="E285" i="9"/>
  <c r="E286" i="9"/>
  <c r="E287" i="9"/>
  <c r="E288" i="9"/>
  <c r="E289" i="9"/>
  <c r="E265" i="9"/>
  <c r="E256" i="9"/>
  <c r="F256" i="9"/>
  <c r="E257" i="9"/>
  <c r="F257" i="9"/>
  <c r="F255" i="9"/>
  <c r="E255" i="9"/>
  <c r="C249" i="9"/>
  <c r="C248" i="9"/>
  <c r="C247" i="9"/>
  <c r="C293" i="9" l="1"/>
  <c r="D293" i="9"/>
  <c r="D292" i="9"/>
  <c r="C290" i="9"/>
  <c r="C292" i="9"/>
  <c r="I248" i="9"/>
  <c r="I249" i="9"/>
  <c r="I247" i="9"/>
  <c r="H248" i="9"/>
  <c r="H247" i="9"/>
  <c r="G249" i="9"/>
  <c r="F249" i="9"/>
  <c r="F247" i="9"/>
  <c r="F248" i="9"/>
  <c r="E248" i="9"/>
  <c r="E249" i="9"/>
  <c r="E247" i="9"/>
  <c r="D247" i="9"/>
  <c r="D248" i="9"/>
  <c r="D249" i="9"/>
  <c r="H249" i="9"/>
  <c r="G248" i="9"/>
  <c r="G247" i="9"/>
  <c r="D192" i="9" l="1"/>
  <c r="D193" i="9"/>
  <c r="D194" i="9"/>
  <c r="D195" i="9"/>
  <c r="D196" i="9"/>
  <c r="D197" i="9"/>
  <c r="D198" i="9"/>
  <c r="D199" i="9"/>
  <c r="D200" i="9"/>
  <c r="D201" i="9"/>
  <c r="D202" i="9"/>
  <c r="D203" i="9"/>
  <c r="D204" i="9"/>
  <c r="D205" i="9"/>
  <c r="D206" i="9"/>
  <c r="D207" i="9"/>
  <c r="D191" i="9"/>
  <c r="F158" i="9" l="1"/>
  <c r="F157" i="9"/>
  <c r="F156" i="9"/>
  <c r="F155" i="9"/>
  <c r="F154" i="9"/>
  <c r="F149" i="9"/>
  <c r="F148" i="9"/>
  <c r="F147" i="9"/>
  <c r="F146" i="9"/>
  <c r="C145" i="9"/>
  <c r="F145" i="9"/>
  <c r="T132" i="9"/>
  <c r="T133" i="9"/>
  <c r="T134" i="9"/>
  <c r="T135" i="9"/>
  <c r="T136" i="9"/>
  <c r="T137" i="9"/>
  <c r="T138" i="9"/>
  <c r="T139" i="9"/>
  <c r="T140" i="9"/>
  <c r="T131" i="9"/>
  <c r="P132" i="9"/>
  <c r="P133" i="9"/>
  <c r="P134" i="9"/>
  <c r="P135" i="9"/>
  <c r="P136" i="9"/>
  <c r="P137" i="9"/>
  <c r="P138" i="9"/>
  <c r="P139" i="9"/>
  <c r="P140" i="9"/>
  <c r="P131" i="9"/>
  <c r="T141" i="9" l="1"/>
  <c r="T142" i="9"/>
  <c r="D165" i="9"/>
  <c r="D166" i="9"/>
  <c r="D168" i="9"/>
  <c r="D164" i="9"/>
  <c r="H159" i="9"/>
  <c r="H155" i="9"/>
  <c r="D167" i="9"/>
  <c r="H147" i="9"/>
  <c r="H149" i="9"/>
  <c r="F159" i="9"/>
  <c r="F150" i="9"/>
  <c r="G147" i="9" s="1"/>
  <c r="H161" i="9" l="1"/>
  <c r="H157" i="9"/>
  <c r="G158" i="9"/>
  <c r="D169" i="9"/>
  <c r="G156" i="9"/>
  <c r="G154" i="9"/>
  <c r="G157" i="9"/>
  <c r="G159" i="9"/>
  <c r="G155" i="9"/>
  <c r="G146" i="9"/>
  <c r="G145" i="9"/>
  <c r="G149" i="9"/>
  <c r="G150" i="9"/>
  <c r="G148" i="9"/>
  <c r="D121" i="9"/>
  <c r="D125" i="9" l="1"/>
  <c r="D124" i="9"/>
  <c r="D123" i="9"/>
  <c r="D122" i="9"/>
  <c r="L56" i="9"/>
  <c r="L57" i="9"/>
  <c r="L58" i="9"/>
  <c r="L59" i="9"/>
  <c r="L60" i="9"/>
  <c r="L61" i="9"/>
  <c r="L62" i="9"/>
  <c r="L63" i="9"/>
  <c r="L64" i="9"/>
  <c r="L65" i="9"/>
  <c r="L66" i="9"/>
  <c r="L67" i="9"/>
  <c r="L68" i="9"/>
  <c r="L69" i="9"/>
  <c r="L70" i="9"/>
  <c r="L71" i="9"/>
  <c r="L72" i="9"/>
  <c r="L73" i="9"/>
  <c r="L74" i="9"/>
  <c r="L75" i="9"/>
  <c r="L76" i="9"/>
  <c r="L77" i="9"/>
  <c r="L78" i="9"/>
  <c r="L79" i="9"/>
  <c r="K56" i="9"/>
  <c r="K57" i="9"/>
  <c r="K58" i="9"/>
  <c r="K59" i="9"/>
  <c r="K60" i="9"/>
  <c r="K61" i="9"/>
  <c r="K62" i="9"/>
  <c r="K63" i="9"/>
  <c r="K64" i="9"/>
  <c r="K65" i="9"/>
  <c r="K66" i="9"/>
  <c r="K67" i="9"/>
  <c r="K68" i="9"/>
  <c r="K69" i="9"/>
  <c r="K70" i="9"/>
  <c r="K71" i="9"/>
  <c r="K72" i="9"/>
  <c r="K73" i="9"/>
  <c r="K74" i="9"/>
  <c r="K75" i="9"/>
  <c r="K76" i="9"/>
  <c r="K77" i="9"/>
  <c r="K78" i="9"/>
  <c r="K79" i="9"/>
  <c r="L55" i="9"/>
  <c r="K55" i="9"/>
  <c r="F56" i="9"/>
  <c r="F57" i="9"/>
  <c r="F58" i="9"/>
  <c r="F59" i="9"/>
  <c r="F60" i="9"/>
  <c r="F61" i="9"/>
  <c r="F62" i="9"/>
  <c r="F63" i="9"/>
  <c r="F64" i="9"/>
  <c r="F65" i="9"/>
  <c r="F66" i="9"/>
  <c r="F67" i="9"/>
  <c r="F68" i="9"/>
  <c r="F69" i="9"/>
  <c r="F70" i="9"/>
  <c r="F71" i="9"/>
  <c r="F72" i="9"/>
  <c r="F73" i="9"/>
  <c r="F74" i="9"/>
  <c r="F75" i="9"/>
  <c r="F76" i="9"/>
  <c r="F77" i="9"/>
  <c r="F78" i="9"/>
  <c r="F79" i="9"/>
  <c r="F55" i="9"/>
  <c r="E56" i="9"/>
  <c r="E57" i="9"/>
  <c r="E58" i="9"/>
  <c r="E59" i="9"/>
  <c r="E60" i="9"/>
  <c r="E61" i="9"/>
  <c r="E62" i="9"/>
  <c r="E63" i="9"/>
  <c r="E64" i="9"/>
  <c r="E65" i="9"/>
  <c r="E66" i="9"/>
  <c r="E67" i="9"/>
  <c r="E68" i="9"/>
  <c r="E69" i="9"/>
  <c r="E70" i="9"/>
  <c r="E71" i="9"/>
  <c r="E72" i="9"/>
  <c r="E73" i="9"/>
  <c r="E74" i="9"/>
  <c r="E75" i="9"/>
  <c r="E76" i="9"/>
  <c r="E77" i="9"/>
  <c r="E78" i="9"/>
  <c r="E79" i="9"/>
  <c r="E55" i="9"/>
  <c r="D36" i="9"/>
  <c r="D34" i="9"/>
  <c r="D33" i="9"/>
  <c r="D32" i="9"/>
  <c r="F8" i="9"/>
  <c r="F9" i="9"/>
  <c r="F10" i="9"/>
  <c r="F11" i="9"/>
  <c r="F12" i="9"/>
  <c r="F13" i="9"/>
  <c r="F14" i="9"/>
  <c r="F15" i="9"/>
  <c r="F16" i="9"/>
  <c r="F17" i="9"/>
  <c r="F18" i="9"/>
  <c r="F19" i="9"/>
  <c r="F20" i="9"/>
  <c r="F21" i="9"/>
  <c r="F22" i="9"/>
  <c r="F23" i="9"/>
  <c r="F24" i="9"/>
  <c r="F25" i="9"/>
  <c r="F26" i="9"/>
  <c r="F7" i="9"/>
  <c r="E8" i="9"/>
  <c r="E9" i="9"/>
  <c r="E10" i="9"/>
  <c r="E11" i="9"/>
  <c r="E12" i="9"/>
  <c r="E13" i="9"/>
  <c r="E14" i="9"/>
  <c r="E15" i="9"/>
  <c r="E16" i="9"/>
  <c r="E17" i="9"/>
  <c r="E18" i="9"/>
  <c r="E19" i="9"/>
  <c r="E21" i="9"/>
  <c r="E22" i="9"/>
  <c r="E23" i="9"/>
  <c r="E24" i="9"/>
  <c r="E25" i="9"/>
  <c r="E26" i="9"/>
  <c r="E7" i="9"/>
  <c r="D27" i="9"/>
  <c r="D35" i="9" s="1"/>
  <c r="D201" i="14"/>
  <c r="M201" i="14"/>
  <c r="E180" i="14"/>
  <c r="K168" i="14"/>
  <c r="J168" i="14"/>
  <c r="I168" i="14"/>
  <c r="K167" i="14"/>
  <c r="J167" i="14"/>
  <c r="I167" i="14"/>
  <c r="K166" i="14"/>
  <c r="J166" i="14"/>
  <c r="I166" i="14"/>
  <c r="K165" i="14"/>
  <c r="J165" i="14"/>
  <c r="I165" i="14"/>
  <c r="K164" i="14"/>
  <c r="J164" i="14"/>
  <c r="I164" i="14"/>
  <c r="K163" i="14"/>
  <c r="J163" i="14"/>
  <c r="I163" i="14"/>
  <c r="K162" i="14"/>
  <c r="J162" i="14"/>
  <c r="I162" i="14"/>
  <c r="L49" i="9"/>
  <c r="L48" i="9"/>
  <c r="K44" i="9"/>
  <c r="L44" i="9" s="1"/>
  <c r="K43" i="9"/>
  <c r="L43" i="9" s="1"/>
  <c r="I222" i="15" l="1"/>
  <c r="H131" i="14" l="1"/>
  <c r="H124" i="14"/>
  <c r="H117" i="14"/>
  <c r="C110" i="14" s="1"/>
  <c r="D110" i="14" l="1"/>
  <c r="I124" i="14"/>
  <c r="E110" i="14"/>
  <c r="F110" i="14" s="1"/>
  <c r="I131" i="14"/>
  <c r="H133" i="14"/>
  <c r="G110" i="14"/>
  <c r="D97" i="13"/>
  <c r="E97" i="13"/>
  <c r="F97" i="13"/>
  <c r="G97" i="13"/>
  <c r="C97" i="13"/>
  <c r="E10" i="13"/>
  <c r="F10" i="13" s="1"/>
  <c r="I185" i="9"/>
  <c r="I184" i="9"/>
  <c r="G185" i="9"/>
  <c r="G184" i="9"/>
  <c r="E185" i="9"/>
  <c r="C158" i="9"/>
  <c r="C157" i="9"/>
  <c r="C156" i="9"/>
  <c r="C155" i="9"/>
  <c r="C154" i="9"/>
  <c r="C149" i="9"/>
  <c r="C148" i="9"/>
  <c r="C147" i="9"/>
  <c r="C146" i="9"/>
  <c r="O132" i="9"/>
  <c r="O140" i="9"/>
  <c r="O138" i="9"/>
  <c r="O136" i="9"/>
  <c r="O133" i="9"/>
  <c r="O134" i="9"/>
  <c r="O135" i="9"/>
  <c r="O137" i="9"/>
  <c r="O139" i="9"/>
  <c r="O131" i="9"/>
  <c r="C122" i="9"/>
  <c r="C123" i="9"/>
  <c r="C124" i="9"/>
  <c r="C125" i="9"/>
  <c r="C121" i="9"/>
  <c r="C36" i="9"/>
  <c r="C34" i="9"/>
  <c r="C33" i="9"/>
  <c r="C32" i="9"/>
  <c r="C27" i="9"/>
  <c r="C35" i="9" s="1"/>
  <c r="I97" i="13" l="1"/>
  <c r="H97" i="13"/>
  <c r="C166" i="9"/>
  <c r="E147" i="9"/>
  <c r="C82" i="14"/>
  <c r="E155" i="9"/>
  <c r="C168" i="9"/>
  <c r="C167" i="9"/>
  <c r="C165" i="9"/>
  <c r="C164" i="9"/>
  <c r="S10" i="13" l="1"/>
  <c r="C159" i="9"/>
  <c r="C150" i="9"/>
  <c r="D145" i="9" s="1"/>
  <c r="D211" i="15"/>
  <c r="E211" i="15"/>
  <c r="F211" i="15"/>
  <c r="G211" i="15"/>
  <c r="H211" i="15"/>
  <c r="I211" i="15"/>
  <c r="J211" i="15"/>
  <c r="K211" i="15"/>
  <c r="L211" i="15"/>
  <c r="M211" i="15"/>
  <c r="N211" i="15"/>
  <c r="O211" i="15"/>
  <c r="P211" i="15"/>
  <c r="Q211" i="15"/>
  <c r="R211" i="15"/>
  <c r="S211" i="15"/>
  <c r="T211" i="15"/>
  <c r="C211" i="15"/>
  <c r="C160" i="15"/>
  <c r="F31" i="18"/>
  <c r="E31" i="18"/>
  <c r="D31" i="18"/>
  <c r="C31" i="18"/>
  <c r="E30" i="18"/>
  <c r="F29" i="18"/>
  <c r="E29" i="18"/>
  <c r="D29" i="18"/>
  <c r="C29" i="18"/>
  <c r="F28" i="18"/>
  <c r="G28" i="18" s="1"/>
  <c r="E28" i="18"/>
  <c r="D28" i="18"/>
  <c r="C28" i="18"/>
  <c r="G32" i="18"/>
  <c r="G24" i="18"/>
  <c r="G25" i="18"/>
  <c r="G23" i="18"/>
  <c r="I20" i="18"/>
  <c r="G20" i="18"/>
  <c r="E20" i="18"/>
  <c r="I19" i="18"/>
  <c r="G19" i="18"/>
  <c r="E19" i="18"/>
  <c r="I18" i="18"/>
  <c r="G18" i="18"/>
  <c r="E18" i="18"/>
  <c r="H17" i="18"/>
  <c r="I17" i="18" s="1"/>
  <c r="D17" i="18"/>
  <c r="G17" i="18" s="1"/>
  <c r="C17" i="18"/>
  <c r="H16" i="18"/>
  <c r="I16" i="18" s="1"/>
  <c r="D16" i="18"/>
  <c r="G16" i="18" s="1"/>
  <c r="C16" i="18"/>
  <c r="H15" i="18"/>
  <c r="F30" i="18" s="1"/>
  <c r="D15" i="18"/>
  <c r="G15" i="18" s="1"/>
  <c r="C15" i="18"/>
  <c r="C30" i="18" s="1"/>
  <c r="I14" i="18"/>
  <c r="G14" i="18"/>
  <c r="E14" i="18"/>
  <c r="I13" i="18"/>
  <c r="G13" i="18"/>
  <c r="E13" i="18"/>
  <c r="I12" i="18"/>
  <c r="G12" i="18"/>
  <c r="E12" i="18"/>
  <c r="I11" i="18"/>
  <c r="G11" i="18"/>
  <c r="E11" i="18"/>
  <c r="I10" i="18"/>
  <c r="G10" i="18"/>
  <c r="E10" i="18"/>
  <c r="I9" i="18"/>
  <c r="G9" i="18"/>
  <c r="E9" i="18"/>
  <c r="I8" i="18"/>
  <c r="G8" i="18"/>
  <c r="E8" i="18"/>
  <c r="I7" i="18"/>
  <c r="G7" i="18"/>
  <c r="E7" i="18"/>
  <c r="I6" i="18"/>
  <c r="G6" i="18"/>
  <c r="E6" i="18"/>
  <c r="D159" i="9" l="1"/>
  <c r="D157" i="9"/>
  <c r="D158" i="9"/>
  <c r="C169" i="9"/>
  <c r="D154" i="9"/>
  <c r="D156" i="9"/>
  <c r="D155" i="9"/>
  <c r="D150" i="9"/>
  <c r="D149" i="9"/>
  <c r="D147" i="9"/>
  <c r="D148" i="9"/>
  <c r="D146" i="9"/>
  <c r="G31" i="18"/>
  <c r="E16" i="18"/>
  <c r="G29" i="18"/>
  <c r="G30" i="18"/>
  <c r="E15" i="18"/>
  <c r="I15" i="18"/>
  <c r="D30" i="18"/>
  <c r="E17" i="18"/>
  <c r="P17" i="17"/>
  <c r="P15" i="17"/>
  <c r="M23" i="17"/>
  <c r="M24" i="17"/>
  <c r="M25" i="17"/>
  <c r="M26" i="17"/>
  <c r="L23" i="17"/>
  <c r="L24" i="17"/>
  <c r="L25" i="17"/>
  <c r="L26" i="17"/>
  <c r="K23" i="17"/>
  <c r="K24" i="17"/>
  <c r="K25" i="17"/>
  <c r="K26" i="17"/>
  <c r="K22" i="17"/>
  <c r="L22" i="17"/>
  <c r="M22" i="17"/>
  <c r="O14" i="17"/>
  <c r="O15" i="17"/>
  <c r="O16" i="17"/>
  <c r="O17" i="17"/>
  <c r="O18" i="17"/>
  <c r="O13" i="17"/>
  <c r="N18" i="17"/>
  <c r="J17" i="17"/>
  <c r="K17" i="17"/>
  <c r="L17" i="17"/>
  <c r="M17" i="17"/>
  <c r="J16" i="17"/>
  <c r="K16" i="17"/>
  <c r="L16" i="17"/>
  <c r="M16" i="17"/>
  <c r="J15" i="17"/>
  <c r="K15" i="17"/>
  <c r="L15" i="17"/>
  <c r="M15" i="17"/>
  <c r="J14" i="17"/>
  <c r="K14" i="17"/>
  <c r="L14" i="17"/>
  <c r="M14" i="17"/>
  <c r="J13" i="17"/>
  <c r="K13" i="17"/>
  <c r="L13" i="17"/>
  <c r="M13" i="17"/>
  <c r="N17" i="17"/>
  <c r="N16" i="17"/>
  <c r="N15" i="17"/>
  <c r="N14" i="17"/>
  <c r="N13" i="17"/>
  <c r="K9" i="17"/>
  <c r="L9" i="17"/>
  <c r="M9" i="17"/>
  <c r="K8" i="17"/>
  <c r="L8" i="17"/>
  <c r="M8" i="17"/>
  <c r="K7" i="17"/>
  <c r="L7" i="17"/>
  <c r="M7" i="17"/>
  <c r="K6" i="17"/>
  <c r="L6" i="17"/>
  <c r="M6" i="17"/>
  <c r="K5" i="17"/>
  <c r="L5" i="17"/>
  <c r="M5" i="17"/>
  <c r="G70" i="17"/>
  <c r="F70" i="17"/>
  <c r="E70" i="17"/>
  <c r="G69" i="17"/>
  <c r="F69" i="17"/>
  <c r="E69" i="17"/>
  <c r="G68" i="17"/>
  <c r="F68" i="17"/>
  <c r="E68" i="17"/>
  <c r="G67" i="17"/>
  <c r="F67" i="17"/>
  <c r="E67" i="17"/>
  <c r="G66" i="17"/>
  <c r="F66" i="17"/>
  <c r="E66" i="17"/>
  <c r="G65" i="17"/>
  <c r="F65" i="17"/>
  <c r="E65" i="17"/>
  <c r="G64" i="17"/>
  <c r="F64" i="17"/>
  <c r="E64" i="17"/>
  <c r="G63" i="17"/>
  <c r="F63" i="17"/>
  <c r="E63" i="17"/>
  <c r="G62" i="17"/>
  <c r="F62" i="17"/>
  <c r="E62" i="17"/>
  <c r="G61" i="17"/>
  <c r="F61" i="17"/>
  <c r="E61" i="17"/>
  <c r="G56" i="17"/>
  <c r="F56" i="17"/>
  <c r="E56" i="17"/>
  <c r="G55" i="17"/>
  <c r="F55" i="17"/>
  <c r="E55" i="17"/>
  <c r="G54" i="17"/>
  <c r="F54" i="17"/>
  <c r="E54" i="17"/>
  <c r="G53" i="17"/>
  <c r="F53" i="17"/>
  <c r="E53" i="17"/>
  <c r="G52" i="17"/>
  <c r="F52" i="17"/>
  <c r="E52" i="17"/>
  <c r="G51" i="17"/>
  <c r="F51" i="17"/>
  <c r="E51" i="17"/>
  <c r="G50" i="17"/>
  <c r="F50" i="17"/>
  <c r="E50" i="17"/>
  <c r="G49" i="17"/>
  <c r="F49" i="17"/>
  <c r="E49" i="17"/>
  <c r="G48" i="17"/>
  <c r="F48" i="17"/>
  <c r="E48" i="17"/>
  <c r="G47" i="17"/>
  <c r="F47" i="17"/>
  <c r="E47" i="17"/>
  <c r="F42" i="17"/>
  <c r="C42" i="17"/>
  <c r="F41" i="17"/>
  <c r="C41" i="17"/>
  <c r="F40" i="17"/>
  <c r="C40" i="17"/>
  <c r="F39" i="17"/>
  <c r="C39" i="17"/>
  <c r="F38" i="17"/>
  <c r="C38" i="17"/>
  <c r="F37" i="17"/>
  <c r="C37" i="17"/>
  <c r="F36" i="17"/>
  <c r="C36" i="17"/>
  <c r="F35" i="17"/>
  <c r="C35" i="17"/>
  <c r="F34" i="17"/>
  <c r="C34" i="17"/>
  <c r="F33" i="17"/>
  <c r="C33" i="17"/>
  <c r="F28" i="17"/>
  <c r="C28" i="17"/>
  <c r="F27" i="17"/>
  <c r="C27" i="17"/>
  <c r="F26" i="17"/>
  <c r="C26" i="17"/>
  <c r="F25" i="17"/>
  <c r="C25" i="17"/>
  <c r="F24" i="17"/>
  <c r="C24" i="17"/>
  <c r="F23" i="17"/>
  <c r="C23" i="17"/>
  <c r="F22" i="17"/>
  <c r="C22" i="17"/>
  <c r="F21" i="17"/>
  <c r="C21" i="17"/>
  <c r="F20" i="17"/>
  <c r="C20" i="17"/>
  <c r="F19" i="17"/>
  <c r="C19" i="17"/>
  <c r="F14" i="17"/>
  <c r="D14" i="17"/>
  <c r="D70" i="17" s="1"/>
  <c r="F13" i="17"/>
  <c r="D13" i="17"/>
  <c r="D55" i="17" s="1"/>
  <c r="C55" i="17" s="1"/>
  <c r="F12" i="17"/>
  <c r="D12" i="17"/>
  <c r="D68" i="17" s="1"/>
  <c r="F11" i="17"/>
  <c r="D11" i="17"/>
  <c r="C11" i="17" s="1"/>
  <c r="F10" i="17"/>
  <c r="D10" i="17"/>
  <c r="D66" i="17" s="1"/>
  <c r="F9" i="17"/>
  <c r="D9" i="17"/>
  <c r="D51" i="17" s="1"/>
  <c r="F8" i="17"/>
  <c r="D8" i="17"/>
  <c r="D64" i="17" s="1"/>
  <c r="F7" i="17"/>
  <c r="D7" i="17"/>
  <c r="D63" i="17" s="1"/>
  <c r="F6" i="17"/>
  <c r="D6" i="17"/>
  <c r="D48" i="17" s="1"/>
  <c r="C48" i="17" s="1"/>
  <c r="F5" i="17"/>
  <c r="D5" i="17"/>
  <c r="J5" i="17" s="1"/>
  <c r="J22" i="17" s="1"/>
  <c r="G391" i="16"/>
  <c r="H391" i="16"/>
  <c r="F391" i="16"/>
  <c r="D391" i="16"/>
  <c r="H379" i="16"/>
  <c r="G379" i="16"/>
  <c r="F379" i="16"/>
  <c r="D379" i="16"/>
  <c r="H368" i="16"/>
  <c r="G368" i="16"/>
  <c r="F368" i="16"/>
  <c r="D368" i="16"/>
  <c r="H360" i="16"/>
  <c r="G360" i="16"/>
  <c r="F360" i="16"/>
  <c r="D360" i="16"/>
  <c r="H354" i="16"/>
  <c r="G354" i="16"/>
  <c r="F354" i="16"/>
  <c r="D354" i="16"/>
  <c r="C177" i="15"/>
  <c r="C7" i="17" l="1"/>
  <c r="C63" i="17" s="1"/>
  <c r="C8" i="17"/>
  <c r="C64" i="17" s="1"/>
  <c r="C6" i="17"/>
  <c r="C62" i="17" s="1"/>
  <c r="D50" i="17"/>
  <c r="C50" i="17" s="1"/>
  <c r="C14" i="17"/>
  <c r="C70" i="17" s="1"/>
  <c r="J6" i="17"/>
  <c r="J23" i="17" s="1"/>
  <c r="C9" i="17"/>
  <c r="D52" i="17"/>
  <c r="C52" i="17" s="1"/>
  <c r="D65" i="17"/>
  <c r="J7" i="17"/>
  <c r="J24" i="17" s="1"/>
  <c r="C12" i="17"/>
  <c r="N8" i="17" s="1"/>
  <c r="D54" i="17"/>
  <c r="C54" i="17" s="1"/>
  <c r="D56" i="17"/>
  <c r="C56" i="17" s="1"/>
  <c r="D67" i="17"/>
  <c r="D69" i="17"/>
  <c r="C67" i="17"/>
  <c r="D47" i="17"/>
  <c r="C47" i="17" s="1"/>
  <c r="D62" i="17"/>
  <c r="J9" i="17"/>
  <c r="J26" i="17" s="1"/>
  <c r="C10" i="17"/>
  <c r="C66" i="17" s="1"/>
  <c r="D49" i="17"/>
  <c r="C49" i="17" s="1"/>
  <c r="C5" i="17"/>
  <c r="C13" i="17"/>
  <c r="C51" i="17"/>
  <c r="D53" i="17"/>
  <c r="C53" i="17" s="1"/>
  <c r="D61" i="17"/>
  <c r="J8" i="17"/>
  <c r="J25" i="17" s="1"/>
  <c r="N6" i="17" l="1"/>
  <c r="N23" i="17" s="1"/>
  <c r="C68" i="17"/>
  <c r="N25" i="17"/>
  <c r="C61" i="17"/>
  <c r="N5" i="17"/>
  <c r="C65" i="17"/>
  <c r="N7" i="17"/>
  <c r="C69" i="17"/>
  <c r="N9" i="17"/>
  <c r="N26" i="17" l="1"/>
  <c r="N24" i="17"/>
  <c r="N22" i="17"/>
  <c r="N10" i="17"/>
  <c r="O7" i="17" s="1"/>
  <c r="O5" i="17" l="1"/>
  <c r="O9" i="17"/>
  <c r="O10" i="17"/>
  <c r="O6" i="17"/>
  <c r="P7" i="17" s="1"/>
  <c r="O8" i="17"/>
  <c r="P9" i="17" l="1"/>
  <c r="I156" i="14"/>
  <c r="J156" i="14"/>
  <c r="H208" i="13" l="1"/>
  <c r="H207" i="13"/>
  <c r="H206" i="13"/>
  <c r="H205" i="13"/>
  <c r="H204" i="13"/>
  <c r="H169" i="13"/>
  <c r="H171" i="13"/>
  <c r="H170" i="13"/>
  <c r="H168" i="13"/>
  <c r="H167" i="13"/>
  <c r="H135" i="13"/>
  <c r="H134" i="13"/>
  <c r="H133" i="13"/>
  <c r="H132" i="13"/>
  <c r="H131" i="13"/>
  <c r="H240" i="9" l="1"/>
  <c r="H241" i="9"/>
  <c r="H242" i="9"/>
  <c r="I242" i="9"/>
  <c r="G242" i="9"/>
  <c r="F242" i="9"/>
  <c r="E242" i="9"/>
  <c r="D242" i="9"/>
  <c r="D241" i="9"/>
  <c r="I241" i="9"/>
  <c r="G241" i="9"/>
  <c r="F241" i="9"/>
  <c r="E241" i="9"/>
  <c r="G208" i="13"/>
  <c r="F208" i="13"/>
  <c r="G207" i="13"/>
  <c r="F207" i="13"/>
  <c r="G206" i="13"/>
  <c r="F206" i="13"/>
  <c r="G205" i="13"/>
  <c r="F205" i="13"/>
  <c r="G204" i="13"/>
  <c r="F204" i="13"/>
  <c r="G171" i="13"/>
  <c r="F171" i="13"/>
  <c r="G170" i="13"/>
  <c r="F170" i="13"/>
  <c r="G169" i="13"/>
  <c r="F169" i="13"/>
  <c r="G168" i="13"/>
  <c r="F168" i="13"/>
  <c r="G167" i="13"/>
  <c r="F167" i="13"/>
  <c r="G135" i="13"/>
  <c r="F135" i="13"/>
  <c r="G134" i="13"/>
  <c r="F134" i="13"/>
  <c r="G133" i="13"/>
  <c r="F133" i="13"/>
  <c r="G132" i="13"/>
  <c r="F132" i="13"/>
  <c r="G131" i="13"/>
  <c r="F131" i="13"/>
  <c r="G84" i="13"/>
  <c r="E84" i="13"/>
  <c r="I83" i="13"/>
  <c r="G83" i="13"/>
  <c r="E83" i="13"/>
  <c r="C30" i="13" l="1"/>
  <c r="C29" i="13"/>
  <c r="C32" i="13"/>
  <c r="C31" i="13"/>
  <c r="C28" i="13"/>
  <c r="I240" i="9" l="1"/>
  <c r="G240" i="9"/>
  <c r="F240" i="9"/>
  <c r="E240" i="9"/>
  <c r="S139" i="9" l="1"/>
  <c r="S136" i="9"/>
  <c r="S140" i="9"/>
  <c r="S134" i="9"/>
  <c r="S138" i="9"/>
  <c r="S131" i="9"/>
  <c r="S132" i="9"/>
  <c r="S133" i="9"/>
  <c r="S141" i="9" s="1"/>
  <c r="S137" i="9"/>
  <c r="S135" i="9"/>
  <c r="S142" i="9" l="1"/>
  <c r="D240" i="9"/>
  <c r="C241" i="9" l="1"/>
  <c r="C242" i="9"/>
  <c r="C240"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<sst xmlns="http://schemas.openxmlformats.org/spreadsheetml/2006/main" count="2984" uniqueCount="1103">
  <si>
    <t xml:space="preserve">Core Output 1: Housing Market Drivers </t>
  </si>
  <si>
    <t>Information Required</t>
  </si>
  <si>
    <t>Source</t>
  </si>
  <si>
    <t>Notes</t>
  </si>
  <si>
    <t>Worksheet</t>
  </si>
  <si>
    <t>National Records of Scotland</t>
  </si>
  <si>
    <t>Population Projections</t>
  </si>
  <si>
    <t>Household Projections</t>
  </si>
  <si>
    <t>Local data</t>
  </si>
  <si>
    <t>ONS</t>
  </si>
  <si>
    <t>Scottish Government Economic/Labour Market Statistics by local authority area/datazone</t>
  </si>
  <si>
    <t>statistics.gov.scot</t>
  </si>
  <si>
    <t>Economic growth projections</t>
  </si>
  <si>
    <t>Economic Data</t>
  </si>
  <si>
    <t>City Deal analysis/growth projections</t>
  </si>
  <si>
    <t xml:space="preserve">Business Register and Employment Survey </t>
  </si>
  <si>
    <t>Scotland UK Business Count</t>
  </si>
  <si>
    <t>Annual Population Survey</t>
  </si>
  <si>
    <t>Annual Business Study Data 2019</t>
  </si>
  <si>
    <t>Business Register and Employment Survey 2017-2019 (BRES)</t>
  </si>
  <si>
    <t>Labour Force Survey</t>
  </si>
  <si>
    <t>Claimant Count</t>
  </si>
  <si>
    <t>Annual Survey of Hours and Earnings (ASHW)</t>
  </si>
  <si>
    <t xml:space="preserve">Inter Departmental Business Register </t>
  </si>
  <si>
    <t>Regional Skills Assessment Argyll Rural Growth Deal Summary Report 2019</t>
  </si>
  <si>
    <t>Skills Development Scotland</t>
  </si>
  <si>
    <t>Regional Skills Assessment Highland and Island 2019</t>
  </si>
  <si>
    <t>Annual Participation Measure for 16 – 19 year olds in Scotland 2019</t>
  </si>
  <si>
    <t>Graduate apprenticeships 2018-19</t>
  </si>
  <si>
    <t>Foundation apprenticeships 2018-2020</t>
  </si>
  <si>
    <t>Moray 2022 HNDA Study: Information Requirements</t>
  </si>
  <si>
    <t>Key Findings Summary</t>
  </si>
  <si>
    <t>Demographic Data: Population Projections</t>
  </si>
  <si>
    <t>Demographic Data: Household Estimates</t>
  </si>
  <si>
    <t>Housing Affordability Data</t>
  </si>
  <si>
    <t>Core Output 1: Housing Market Drivers</t>
  </si>
  <si>
    <t xml:space="preserve">Demographic data: Population Projections </t>
  </si>
  <si>
    <t>YEAR</t>
  </si>
  <si>
    <t>Moray</t>
  </si>
  <si>
    <t>% Change 2001 - 2021</t>
  </si>
  <si>
    <t>Source: NRS Mid-Year Population Estimates (Mid-2021)</t>
  </si>
  <si>
    <t>Scotland</t>
  </si>
  <si>
    <t>% change 2001-2021</t>
  </si>
  <si>
    <t>% change 2011-2021</t>
  </si>
  <si>
    <t>Births/deaths/natural change</t>
  </si>
  <si>
    <t>Mid 2020-2021</t>
  </si>
  <si>
    <r>
      <t>Area code</t>
    </r>
    <r>
      <rPr>
        <vertAlign val="superscript"/>
        <sz val="11"/>
        <rFont val="Arial"/>
        <family val="2"/>
      </rPr>
      <t>1,2</t>
    </r>
  </si>
  <si>
    <t>Area name</t>
  </si>
  <si>
    <t>Estimated population
30 June 2018</t>
  </si>
  <si>
    <t>Births</t>
  </si>
  <si>
    <t>Deaths</t>
  </si>
  <si>
    <t>Natural change</t>
  </si>
  <si>
    <r>
      <t>Estimated net civilian migration</t>
    </r>
    <r>
      <rPr>
        <vertAlign val="superscript"/>
        <sz val="11"/>
        <rFont val="Arial"/>
        <family val="2"/>
      </rPr>
      <t>3</t>
    </r>
  </si>
  <si>
    <r>
      <t>Other changes</t>
    </r>
    <r>
      <rPr>
        <vertAlign val="superscript"/>
        <sz val="11"/>
        <rFont val="Arial"/>
        <family val="2"/>
      </rPr>
      <t>4</t>
    </r>
  </si>
  <si>
    <t>Estimated population
30 June 2019</t>
  </si>
  <si>
    <t>Population change</t>
  </si>
  <si>
    <t>%</t>
  </si>
  <si>
    <t>S92000003</t>
  </si>
  <si>
    <t>Mid 2011 - Mid 2021</t>
  </si>
  <si>
    <t>Estimated population
30 June 2009</t>
  </si>
  <si>
    <t>Source: NRS Monthly Data on Births and Deaths Registered in Scotland</t>
  </si>
  <si>
    <t>Age Band</t>
  </si>
  <si>
    <t>0-15</t>
  </si>
  <si>
    <t>16-24</t>
  </si>
  <si>
    <t>25-64</t>
  </si>
  <si>
    <t>65-84</t>
  </si>
  <si>
    <t>85+</t>
  </si>
  <si>
    <t xml:space="preserve">0-15 Male </t>
  </si>
  <si>
    <t>0-15 Female</t>
  </si>
  <si>
    <t>16-24 Male</t>
  </si>
  <si>
    <t>16-24 Female</t>
  </si>
  <si>
    <t>25-64 Male</t>
  </si>
  <si>
    <t>25-64 Female</t>
  </si>
  <si>
    <t>65-84 Male</t>
  </si>
  <si>
    <t>65-84 Female</t>
  </si>
  <si>
    <t>85+ Male</t>
  </si>
  <si>
    <t xml:space="preserve">85+ Female </t>
  </si>
  <si>
    <t>Source: NRS Population Projections (2018 based)</t>
  </si>
  <si>
    <t>Moray 2022 %</t>
  </si>
  <si>
    <t xml:space="preserve">0-15 </t>
  </si>
  <si>
    <t xml:space="preserve">16-24 </t>
  </si>
  <si>
    <t>Working age population 2022</t>
  </si>
  <si>
    <t xml:space="preserve">25-64 </t>
  </si>
  <si>
    <t xml:space="preserve">65-84 </t>
  </si>
  <si>
    <t>65+ population 2022</t>
  </si>
  <si>
    <t xml:space="preserve">85+ </t>
  </si>
  <si>
    <t>Total</t>
  </si>
  <si>
    <t>Moray 2042 %</t>
  </si>
  <si>
    <t>Working age population 2042</t>
  </si>
  <si>
    <t>65+ population 2042</t>
  </si>
  <si>
    <t>Within Scotland</t>
  </si>
  <si>
    <t>Within Scotland %</t>
  </si>
  <si>
    <t>Rest of UK</t>
  </si>
  <si>
    <t>Rest of UK %</t>
  </si>
  <si>
    <t>Overseas</t>
  </si>
  <si>
    <t>Overseas %</t>
  </si>
  <si>
    <t>-</t>
  </si>
  <si>
    <t>Council Area</t>
  </si>
  <si>
    <t>2003-04</t>
  </si>
  <si>
    <t>2004-05</t>
  </si>
  <si>
    <t>2005-06</t>
  </si>
  <si>
    <t>2006-07</t>
  </si>
  <si>
    <t>2007-08</t>
  </si>
  <si>
    <t>2008-09</t>
  </si>
  <si>
    <t>2009-10</t>
  </si>
  <si>
    <t>2010-11</t>
  </si>
  <si>
    <t>2011-12</t>
  </si>
  <si>
    <t>2012-13</t>
  </si>
  <si>
    <t>2013-14</t>
  </si>
  <si>
    <t>2014-15</t>
  </si>
  <si>
    <t>2015-16</t>
  </si>
  <si>
    <t>2016-17</t>
  </si>
  <si>
    <t>2017-18</t>
  </si>
  <si>
    <t>2018-19</t>
  </si>
  <si>
    <t>2019-20</t>
  </si>
  <si>
    <t>2020-21</t>
  </si>
  <si>
    <t>Source: NRS Local Area Migration 2021</t>
  </si>
  <si>
    <t>SCOTLAND</t>
  </si>
  <si>
    <t>Area</t>
  </si>
  <si>
    <t xml:space="preserve">All people </t>
  </si>
  <si>
    <t xml:space="preserve">0 to 15 </t>
  </si>
  <si>
    <t xml:space="preserve">16 to 24 </t>
  </si>
  <si>
    <t xml:space="preserve">25 to 44 </t>
  </si>
  <si>
    <t xml:space="preserve">45 to 64 </t>
  </si>
  <si>
    <t xml:space="preserve">65 to 74 </t>
  </si>
  <si>
    <t xml:space="preserve">75 and over </t>
  </si>
  <si>
    <t>Moray 2018</t>
  </si>
  <si>
    <t>Moray 2028</t>
  </si>
  <si>
    <t>Moray 2038</t>
  </si>
  <si>
    <t>Moray 2043</t>
  </si>
  <si>
    <t>Moray % Change 2018-2028</t>
  </si>
  <si>
    <t>Moray % Change 2018-2038</t>
  </si>
  <si>
    <t>Moray % Change 2018-2043</t>
  </si>
  <si>
    <t>Source: NRS Detailed Datasets by Age and Sex (2018-based)</t>
  </si>
  <si>
    <t>Household Type</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</si>
  <si>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</si>
  <si>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</si>
  <si>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</si>
  <si>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</si>
  <si>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</si>
  <si>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</si>
  <si>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</si>
  <si>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</si>
  <si>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</si>
  <si>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</si>
  <si>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</si>
  <si>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</si>
  <si>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</si>
  <si>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</si>
  <si>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</si>
  <si>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</si>
  <si>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</si>
  <si>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</si>
  <si>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</si>
  <si>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</si>
  <si>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</si>
  <si>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</si>
  <si>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</si>
  <si>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</si>
  <si>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</si>
  <si>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</si>
  <si>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Overall Change 2018-2028</t>
  </si>
  <si>
    <t>Overall Change 2018-2043</t>
  </si>
  <si>
    <t>Table 1.5 Population by Age Group &amp; Gender 2018</t>
  </si>
  <si>
    <t>Population by Age Group 2018</t>
  </si>
  <si>
    <t>Tayplan</t>
  </si>
  <si>
    <t>Angus</t>
  </si>
  <si>
    <t>Dundee</t>
  </si>
  <si>
    <t>Fife</t>
  </si>
  <si>
    <t>Perth &amp; Kinross</t>
  </si>
  <si>
    <t>Tayplan 2018 %</t>
  </si>
  <si>
    <t>Population by Age Group 2038</t>
  </si>
  <si>
    <t>Population by Age Group &amp; Gender 2028</t>
  </si>
  <si>
    <t>Population by Age Group 2018-2038</t>
  </si>
  <si>
    <t>Population by Age Group &amp; Gender 2038</t>
  </si>
  <si>
    <t>% Population Change by Age Group &amp; Gender 2018 -2028</t>
  </si>
  <si>
    <t>% Population Change by Age Group &amp; Gender 2018 -2038</t>
  </si>
  <si>
    <t>Demographic data: Household Estimates</t>
  </si>
  <si>
    <t>Household projections by age group &amp; gender and local authority: National Records of Scotland - 2018 based</t>
  </si>
  <si>
    <t>https://www.nrscotland.gov.uk/statistics-and-data/statistics/statistics-by-theme/households/household-projections/2018-based-household-projections</t>
  </si>
  <si>
    <t>Change 2011 to 2021</t>
  </si>
  <si>
    <t>2022-12-07 Moray HNDA Calculation Inputs.xlsx</t>
  </si>
  <si>
    <t>Table 1.11 Change in number of households 2008 – 2018</t>
  </si>
  <si>
    <t>Number</t>
  </si>
  <si>
    <t>% Change 2008-18</t>
  </si>
  <si>
    <t xml:space="preserve"> Source: NRS (Estimates of Households and Dwellings in Scotland, 2019)                  </t>
  </si>
  <si>
    <t>YEAR 2011 (Census)</t>
  </si>
  <si>
    <t>1 adult</t>
  </si>
  <si>
    <t>2 adults</t>
  </si>
  <si>
    <t>1 adult, 1+ children</t>
  </si>
  <si>
    <t>2 adults, 1+children</t>
  </si>
  <si>
    <t>3+ adults</t>
  </si>
  <si>
    <t>YEAR 2020 (National Records of Scotland (2020 Projections))</t>
  </si>
  <si>
    <t>% Change 2011-2020</t>
  </si>
  <si>
    <t>Source: National Records of Scotland (2020 Projections)</t>
  </si>
  <si>
    <t>Projections</t>
  </si>
  <si>
    <t>% change 2022-27</t>
  </si>
  <si>
    <t>Moray Principal</t>
  </si>
  <si>
    <t>Moray Low Migration</t>
  </si>
  <si>
    <t>Moray High Migration</t>
  </si>
  <si>
    <t>Source: Household Projections for Scotland (2018-based) Detailed Scottish Area Tables, NRS, 2020</t>
  </si>
  <si>
    <t>Tayplan Principal</t>
  </si>
  <si>
    <t>Tayplan Low Migration</t>
  </si>
  <si>
    <t>Tayplan High Migration</t>
  </si>
  <si>
    <t>Angus Principal</t>
  </si>
  <si>
    <t>Angus Low Migration</t>
  </si>
  <si>
    <t>Angus High Migration</t>
  </si>
  <si>
    <t>Dundee Principal</t>
  </si>
  <si>
    <t>Dundee Low Migration</t>
  </si>
  <si>
    <t>Dundee High Migration</t>
  </si>
  <si>
    <t>Fife Principal</t>
  </si>
  <si>
    <t>Fife Low Migration</t>
  </si>
  <si>
    <t>Fife High Migration</t>
  </si>
  <si>
    <t>Perth &amp; Kinross Principal</t>
  </si>
  <si>
    <t>Perth &amp; Kinross Low Migration</t>
  </si>
  <si>
    <t>Perth &amp; Kinross High Migration</t>
  </si>
  <si>
    <t>% Change 2018-31</t>
  </si>
  <si>
    <t>% Change 2018-43</t>
  </si>
  <si>
    <t>16 to 29</t>
  </si>
  <si>
    <t>30 to 44</t>
  </si>
  <si>
    <t>45 to 59</t>
  </si>
  <si>
    <t>60 to 74</t>
  </si>
  <si>
    <t>75+</t>
  </si>
  <si>
    <t>Total Households</t>
  </si>
  <si>
    <t>Moray Household Types</t>
  </si>
  <si>
    <t>% change 2018-2028</t>
  </si>
  <si>
    <t>% change 2028-2038</t>
  </si>
  <si>
    <t>% change 2018-2038</t>
  </si>
  <si>
    <t>Single Person</t>
  </si>
  <si>
    <t>1 adult &amp; 1+ children</t>
  </si>
  <si>
    <t>2+ adults &amp; 1+ children</t>
  </si>
  <si>
    <t>Table 1.14 Household Projections (2018-based)</t>
  </si>
  <si>
    <t>% change 2021-26</t>
  </si>
  <si>
    <t>% change 2021-31</t>
  </si>
  <si>
    <t>% change 2021-43</t>
  </si>
  <si>
    <t>% Change 2021-43</t>
  </si>
  <si>
    <t>Source: Scottish Government Statistics</t>
  </si>
  <si>
    <t>Change 2008/09 to 2018/19</t>
  </si>
  <si>
    <t>Value</t>
  </si>
  <si>
    <t>% Change 2011- 2021</t>
  </si>
  <si>
    <t>Average</t>
  </si>
  <si>
    <t>Median</t>
  </si>
  <si>
    <t>Maximum</t>
  </si>
  <si>
    <t>Minimum</t>
  </si>
  <si>
    <t>Quartile 1</t>
  </si>
  <si>
    <t>Quartile 2</t>
  </si>
  <si>
    <t>Quartile 3</t>
  </si>
  <si>
    <t>Quartile 4</t>
  </si>
  <si>
    <t xml:space="preserve">Source: CHMA - Housing Need and Demand Assessment (HNDA) Datapack </t>
  </si>
  <si>
    <t>Average PRS Monthly Rents</t>
  </si>
  <si>
    <t>2011 to 2021 change</t>
  </si>
  <si>
    <t>2020 to 2021 change</t>
  </si>
  <si>
    <t>Average PRS Monthly Rents 2011</t>
  </si>
  <si>
    <t>1 Bedroom</t>
  </si>
  <si>
    <t>2 Bedroom</t>
  </si>
  <si>
    <t>3 Bedroom</t>
  </si>
  <si>
    <t>4 Bedroom</t>
  </si>
  <si>
    <t>1-4 Bed Average Rent PCM 2011</t>
  </si>
  <si>
    <t>Source: Scottish Government BRMA Dataset 2021</t>
  </si>
  <si>
    <t>Average PRS Monthly Rents 2020</t>
  </si>
  <si>
    <t>1-4 Bed Average Rent PCM 2020</t>
  </si>
  <si>
    <t>% Change 2011-21</t>
  </si>
  <si>
    <t>Average PRS Monthly Rents 2021</t>
  </si>
  <si>
    <t>% Change 2020-21</t>
  </si>
  <si>
    <t xml:space="preserve">Average LHA </t>
  </si>
  <si>
    <t>LHA Rate to PRS</t>
  </si>
  <si>
    <t>Average LA Monthly Rents 2020</t>
  </si>
  <si>
    <t>Bedsit</t>
  </si>
  <si>
    <t>4+ Bedroom</t>
  </si>
  <si>
    <t>Average RSL Monthly Rents 2020</t>
  </si>
  <si>
    <t>Moray RSL Average</t>
  </si>
  <si>
    <t>% Difference LA - RSL Rent</t>
  </si>
  <si>
    <t>% Difference LA - PRS Rent</t>
  </si>
  <si>
    <t xml:space="preserve">CHMA HNDA Tool 2014 </t>
  </si>
  <si>
    <t>CHMA HNDA Tool 2020 V4.0</t>
  </si>
  <si>
    <t>Difference 2014-2018</t>
  </si>
  <si>
    <t>Income benchmarks</t>
  </si>
  <si>
    <t>Lowest 10% below</t>
  </si>
  <si>
    <t>Highest 10% above</t>
  </si>
  <si>
    <t>Buckie</t>
  </si>
  <si>
    <t>Cairngorms</t>
  </si>
  <si>
    <t>Elgin</t>
  </si>
  <si>
    <t>Forres</t>
  </si>
  <si>
    <t>Keith</t>
  </si>
  <si>
    <t>Speyside</t>
  </si>
  <si>
    <t>Source: CHMA HNDA Tool 2020 version 4.0</t>
  </si>
  <si>
    <t>0-15k</t>
  </si>
  <si>
    <t>15-25k</t>
  </si>
  <si>
    <t>25-35k</t>
  </si>
  <si>
    <t>35-45k</t>
  </si>
  <si>
    <t>45-60k</t>
  </si>
  <si>
    <t>60+k</t>
  </si>
  <si>
    <t xml:space="preserve">Average </t>
  </si>
  <si>
    <t>Income benchmarks - Banded income profile</t>
  </si>
  <si>
    <t>0-5K</t>
  </si>
  <si>
    <t>5-10K</t>
  </si>
  <si>
    <t>10-15K</t>
  </si>
  <si>
    <t>15-20K</t>
  </si>
  <si>
    <t>20-25K</t>
  </si>
  <si>
    <t>25-30K</t>
  </si>
  <si>
    <t>30-35K</t>
  </si>
  <si>
    <t>35-40K</t>
  </si>
  <si>
    <t>40-45K</t>
  </si>
  <si>
    <t>45-50K</t>
  </si>
  <si>
    <t>50-55K</t>
  </si>
  <si>
    <t>55-60K</t>
  </si>
  <si>
    <t>60-65K</t>
  </si>
  <si>
    <t>65-70K</t>
  </si>
  <si>
    <t>70-75K</t>
  </si>
  <si>
    <t>75-80K</t>
  </si>
  <si>
    <t>80-85K</t>
  </si>
  <si>
    <t>85-90K</t>
  </si>
  <si>
    <t>90-95K</t>
  </si>
  <si>
    <t>95k+</t>
  </si>
  <si>
    <t xml:space="preserve">Moray </t>
  </si>
  <si>
    <t>Source: CACI Paycheck</t>
  </si>
  <si>
    <t>Median Income Estimates: 2014 Based</t>
  </si>
  <si>
    <t>Median Income Estimates: 2018 Based</t>
  </si>
  <si>
    <t>Change 2014-18</t>
  </si>
  <si>
    <t>% Change 2014-2018</t>
  </si>
  <si>
    <t>Source: Scottish Government Income Estimates 2014 and 2018</t>
  </si>
  <si>
    <t>Tenure</t>
  </si>
  <si>
    <t>Local Authority</t>
  </si>
  <si>
    <t>Average Income</t>
  </si>
  <si>
    <t>% difference to Scottish Average</t>
  </si>
  <si>
    <t>Owner-occupied</t>
  </si>
  <si>
    <t>Social Housing</t>
  </si>
  <si>
    <t>Private Rented</t>
  </si>
  <si>
    <t>Older</t>
  </si>
  <si>
    <t>Families</t>
  </si>
  <si>
    <t>Other</t>
  </si>
  <si>
    <t>*</t>
  </si>
  <si>
    <t>Source: Scottish House Condition Survey Local Authority Analysis 2017-19</t>
  </si>
  <si>
    <t>Moray Council</t>
  </si>
  <si>
    <t>Source: AJ Housing Affordability Tool 2021: % who cannot afford based on 25% income to rent ratio</t>
  </si>
  <si>
    <t>Source: AJ Housing Affordability Tool 2021: % who cannot afford based on 30% income to rent ratio</t>
  </si>
  <si>
    <t>House Price Affordability</t>
  </si>
  <si>
    <t>Multiplier</t>
  </si>
  <si>
    <t xml:space="preserve">Economic Analysis </t>
  </si>
  <si>
    <t>Change since 2011</t>
  </si>
  <si>
    <t>Source: Scotland's Labour Market</t>
  </si>
  <si>
    <t>Model Based Unemployment Rate 2021</t>
  </si>
  <si>
    <t>Change on year</t>
  </si>
  <si>
    <t>Rate</t>
  </si>
  <si>
    <t>Level</t>
  </si>
  <si>
    <t>Rate (%pt)</t>
  </si>
  <si>
    <t>Level Change</t>
  </si>
  <si>
    <t>October 2020</t>
  </si>
  <si>
    <t>Change on year 
(%pts)</t>
  </si>
  <si>
    <t>Source: Claimant Count, ONS</t>
  </si>
  <si>
    <t>Gross Added Value per head</t>
  </si>
  <si>
    <t xml:space="preserve">Comparison to Scotland  (% Difference) </t>
  </si>
  <si>
    <t>Source: Scottish Annual Business Statistics</t>
  </si>
  <si>
    <t>Scottish Annual Business Statistics 2018 - gov.scot (www.gov.scot)</t>
  </si>
  <si>
    <t>Change over last 10 years</t>
  </si>
  <si>
    <t>Employment (thousands) by Local Authority County 2021</t>
  </si>
  <si>
    <t>Add Scotland for 2.13 2.14 2.21 2.2 - sort number throughout - These 1.something in order from start</t>
  </si>
  <si>
    <t>Local Authority District</t>
  </si>
  <si>
    <t>Full time employees</t>
  </si>
  <si>
    <t>Part time employees</t>
  </si>
  <si>
    <t>Total employees</t>
  </si>
  <si>
    <t>Total employment</t>
  </si>
  <si>
    <t xml:space="preserve"> Public </t>
  </si>
  <si>
    <t xml:space="preserve"> Private </t>
  </si>
  <si>
    <t xml:space="preserve"> All </t>
  </si>
  <si>
    <t>Source: Local Authority district - Business Register and Employment Survey (BRES): Table 6</t>
  </si>
  <si>
    <t>Formula used</t>
  </si>
  <si>
    <t>Enterprises by broad industry group 2022</t>
  </si>
  <si>
    <t>Agriculture,forestry &amp; fishing</t>
  </si>
  <si>
    <t>Production</t>
  </si>
  <si>
    <t xml:space="preserve"> Construction</t>
  </si>
  <si>
    <t>Motor trades</t>
  </si>
  <si>
    <t>Wholesale</t>
  </si>
  <si>
    <t>Retail</t>
  </si>
  <si>
    <t>Transport &amp; Storage (inc postal)</t>
  </si>
  <si>
    <t>Accommodation &amp; food services</t>
  </si>
  <si>
    <t>Information &amp; communication</t>
  </si>
  <si>
    <t>Finance &amp; insurance</t>
  </si>
  <si>
    <t>Property</t>
  </si>
  <si>
    <t>Professional, scientific &amp; technical</t>
  </si>
  <si>
    <t>Business administration &amp; support services</t>
  </si>
  <si>
    <t>Public administration &amp; defence</t>
  </si>
  <si>
    <t>Education</t>
  </si>
  <si>
    <t>Health</t>
  </si>
  <si>
    <t>Arts, entertainment, recreation &amp; other services</t>
  </si>
  <si>
    <t>Source: ONS UK business: activity, size and location</t>
  </si>
  <si>
    <t>Count of Births of New Enterprises</t>
  </si>
  <si>
    <t>Total businesses closures 2015 - 2020</t>
  </si>
  <si>
    <t>Source: ONS Business demography, UK</t>
  </si>
  <si>
    <t>Gross Weekly Pay for All Employee Jobs</t>
  </si>
  <si>
    <t>All</t>
  </si>
  <si>
    <t>Annual % Change</t>
  </si>
  <si>
    <t>Mean</t>
  </si>
  <si>
    <t>Full Time</t>
  </si>
  <si>
    <t>Part Time</t>
  </si>
  <si>
    <t>Male</t>
  </si>
  <si>
    <t>Female</t>
  </si>
  <si>
    <t>Source: Earnings and hours worked, place of residence by local authority: ASHE table 8</t>
  </si>
  <si>
    <t>Travel to work</t>
  </si>
  <si>
    <t>Outflows</t>
  </si>
  <si>
    <t>Homeworking</t>
  </si>
  <si>
    <t>Deprivation Top 20% Most Deprived Datazones</t>
  </si>
  <si>
    <t>Total Datazones</t>
  </si>
  <si>
    <t>2016-2020</t>
  </si>
  <si>
    <t>Source: SIMD</t>
  </si>
  <si>
    <t>Got but only some by local authority</t>
  </si>
  <si>
    <t>?</t>
  </si>
  <si>
    <t>State of the economy: September 2020 - gov.scot (www.gov.scot)</t>
  </si>
  <si>
    <t>Unsure, put two links in</t>
  </si>
  <si>
    <t>received</t>
  </si>
  <si>
    <t>Could only get 2018 version</t>
  </si>
  <si>
    <t>https://www.ons.gov.uk/employmentandlabourmarket/peopleinwork/employmentandemployeetypes/articles/singlemonthlabourforcesurveyestimates/september2020</t>
  </si>
  <si>
    <t>Core Output 1 Sources\2.22 argyll-rural-growth-deal-rsa-summary-report.pdf</t>
  </si>
  <si>
    <t>Core Output 1 Sources\2.23 rsa-infographic-highlands-and-islands.pdf</t>
  </si>
  <si>
    <t>Core Output 1 Sources\2.24 2020-annual-participation-measure-report.pdf</t>
  </si>
  <si>
    <t>Core Output 1 Sources\2.25 ga-report-2019.pdf</t>
  </si>
  <si>
    <t>Core Output 1 Sources\2.26 fa-report.pdf</t>
  </si>
  <si>
    <t xml:space="preserve">Table 4.2: Model-based unemployment levels and rates by local authority </t>
  </si>
  <si>
    <t>Jul 2019-Jun 2020</t>
  </si>
  <si>
    <t>Dundee City</t>
  </si>
  <si>
    <t>Perth and Kinross</t>
  </si>
  <si>
    <t>Table 5.2: Claimant Count by local authority (Experimental data)</t>
  </si>
  <si>
    <t>October 2020 Total Claimants</t>
  </si>
  <si>
    <t>% Change on year</t>
  </si>
  <si>
    <t>Claimant Count rate (%)</t>
  </si>
  <si>
    <t>Change on year (%pts)</t>
  </si>
  <si>
    <t>Table 5.5: 16-24 Claimant Count levels and rates by Local Authority, October 2020 (Experimental data)</t>
  </si>
  <si>
    <t>Table 6.2: Alternative Claimant Count by local authority (Experimental data)</t>
  </si>
  <si>
    <t>August 2020 Total Claimants</t>
  </si>
  <si>
    <t>Alternative Claimant Count rate (%)</t>
  </si>
  <si>
    <t>Table 6.5: 16-24 Alternative Claimant Count levels and rates by Local Authority (Experimental data)</t>
  </si>
  <si>
    <t>Employment (thousands) by Local Authority County 2019</t>
  </si>
  <si>
    <t>Local Authority County</t>
  </si>
  <si>
    <t>Public</t>
  </si>
  <si>
    <t>Private</t>
  </si>
  <si>
    <t>Table 1 - Number of VAT and/or PAYE based enterprises in districts, counties and unitary authorities within region and country by broad industry group</t>
  </si>
  <si>
    <t>01-03 : Agriculture,forestry &amp; fishing</t>
  </si>
  <si>
    <t>05-39 : Production</t>
  </si>
  <si>
    <t>41-43 : Construction</t>
  </si>
  <si>
    <t>45 : Motor trades</t>
  </si>
  <si>
    <t>46 : Wholesale</t>
  </si>
  <si>
    <t>47 : Retail</t>
  </si>
  <si>
    <t>49-53 : Transport &amp; Storage (inc postal)</t>
  </si>
  <si>
    <t>55-56 : Accommodation &amp; food services</t>
  </si>
  <si>
    <t>58-63 : Information &amp; communication</t>
  </si>
  <si>
    <t>64-66 : Finance &amp; insurance</t>
  </si>
  <si>
    <t>68 : Property</t>
  </si>
  <si>
    <t>69-75 : Professional, scientific &amp; technical</t>
  </si>
  <si>
    <t>77-82 : Business administration &amp; support services</t>
  </si>
  <si>
    <t>84 : Public administration &amp; defence</t>
  </si>
  <si>
    <t>85 : Education</t>
  </si>
  <si>
    <t>86-88 : Health</t>
  </si>
  <si>
    <t>90-99 : Arts, entertainment, recreation &amp; other services</t>
  </si>
  <si>
    <t>Rates are also available for the below charts</t>
  </si>
  <si>
    <t>Employment rates and levels by local authority, Scotland: Jan-Dec 2004 to Jan-Dec 2019</t>
  </si>
  <si>
    <t>Change over year</t>
  </si>
  <si>
    <t>Change since 2009</t>
  </si>
  <si>
    <t>Rate  (%pts)</t>
  </si>
  <si>
    <t>Economic Inactivity rates and levels by local authority, Scotland: Jan-Dec 2004 to Jan-Dec 2019</t>
  </si>
  <si>
    <t>Female employment rates and levels by local authority, Scotland: Jan-Dec 2004 to Jan-Dec 2019</t>
  </si>
  <si>
    <t>Geography 
(Residence Based)</t>
  </si>
  <si>
    <t>Male employment rates and levels by local authority, Scotland: Jan-Dec 2004 to Jan-Dec 2019</t>
  </si>
  <si>
    <t>Employment rates and levels for those aged 16-24 by local authority, Scotland: Jan-Dec 2004 to Jan-Dec 2019</t>
  </si>
  <si>
    <t>CLAIMANT COUNT ON 8th OCTOBER 2020</t>
  </si>
  <si>
    <t>Levels</t>
  </si>
  <si>
    <t>Percentage of Pop</t>
  </si>
  <si>
    <t>Percentage</t>
  </si>
  <si>
    <t>Men</t>
  </si>
  <si>
    <t>Women</t>
  </si>
  <si>
    <t>People</t>
  </si>
  <si>
    <t>Percentiles</t>
  </si>
  <si>
    <t>Number of Jobs (000s)</t>
  </si>
  <si>
    <t>x</t>
  </si>
  <si>
    <t>Paid Hours Worked</t>
  </si>
  <si>
    <t>Issue with this part below is that Fife look to be miles ahead of other LA's - whilst in reality not all of fife is to be included in Tayplan</t>
  </si>
  <si>
    <t>Count of Deaths of New Enterprises</t>
  </si>
  <si>
    <t>Count of Active Enterprises</t>
  </si>
  <si>
    <t>Count of High Growth Enterprises</t>
  </si>
  <si>
    <t>Count of organizations with 10+ employees</t>
  </si>
  <si>
    <t>Survival of Newly born enterprises</t>
  </si>
  <si>
    <t>Birth Year</t>
  </si>
  <si>
    <t>Council</t>
  </si>
  <si>
    <t>1-year survival</t>
  </si>
  <si>
    <t>1-year      per cent</t>
  </si>
  <si>
    <t>2-year survival</t>
  </si>
  <si>
    <t>2-year      per cent</t>
  </si>
  <si>
    <t>3-year survival</t>
  </si>
  <si>
    <t>3-year      per cent</t>
  </si>
  <si>
    <t>4-year survival</t>
  </si>
  <si>
    <t>4-year      per cent</t>
  </si>
  <si>
    <t>5-year survival</t>
  </si>
  <si>
    <t>5-year      per cent</t>
  </si>
  <si>
    <t>:</t>
  </si>
  <si>
    <t>Participation Measure</t>
  </si>
  <si>
    <t>2020 Annual Participation Measure</t>
  </si>
  <si>
    <t>Percentage point change between 2020 and 2019</t>
  </si>
  <si>
    <t>Percentage point change between 2020 and 2018</t>
  </si>
  <si>
    <t>% Participation</t>
  </si>
  <si>
    <t>% Non Participation</t>
  </si>
  <si>
    <t>% Unconfirmed</t>
  </si>
  <si>
    <t>2017/18 starts by local authority (apprentice and employer)11</t>
  </si>
  <si>
    <t>Local authority</t>
  </si>
  <si>
    <t>Starts by GA home local authority</t>
  </si>
  <si>
    <t>% of total</t>
  </si>
  <si>
    <t>Starts by employer local authority</t>
  </si>
  <si>
    <t>P&amp;K</t>
  </si>
  <si>
    <t>2018/19 starts by local authority (apprentice and employer)11</t>
  </si>
  <si>
    <t>2017/18 GA employers by local authority10</t>
  </si>
  <si>
    <t xml:space="preserve">Local authority </t>
  </si>
  <si>
    <t>Number of GA Employers</t>
  </si>
  <si>
    <t>2018/19 GA employers by local authority10</t>
  </si>
  <si>
    <t>FA employers by school local authority</t>
  </si>
  <si>
    <t>School Local Authority</t>
  </si>
  <si>
    <t>Cohort 1</t>
  </si>
  <si>
    <t>Cohort 2</t>
  </si>
  <si>
    <t>Cohort 3</t>
  </si>
  <si>
    <t>FAs by local authority</t>
  </si>
  <si>
    <t>Cohort 4</t>
  </si>
  <si>
    <t>Opportunities Realised</t>
  </si>
  <si>
    <t>In Training</t>
  </si>
  <si>
    <t>Schools with pupils undertaking an FA</t>
  </si>
  <si>
    <t>..\1526 Data Received\Perth and Kinross Council\2. Core Output 1\2.27 TAYplan Travel to Work Area Analysis.pdf</t>
  </si>
  <si>
    <t>In flows</t>
  </si>
  <si>
    <t>Stay in angus</t>
  </si>
  <si>
    <t>Aberdeen City &amp; Shire</t>
  </si>
  <si>
    <t>Elsewhere</t>
  </si>
  <si>
    <t>Angus Total</t>
  </si>
  <si>
    <t>Stay in Dundee</t>
  </si>
  <si>
    <t>Dundee Total</t>
  </si>
  <si>
    <t>North Fife</t>
  </si>
  <si>
    <t>Stay in North Fife</t>
  </si>
  <si>
    <t>South Fife</t>
  </si>
  <si>
    <t>Edinburgh</t>
  </si>
  <si>
    <t>North Fife Total</t>
  </si>
  <si>
    <t>Stay in P&amp;K</t>
  </si>
  <si>
    <t>Highland</t>
  </si>
  <si>
    <t>Stirling</t>
  </si>
  <si>
    <t>Clacks</t>
  </si>
  <si>
    <t>P&amp;K Total</t>
  </si>
  <si>
    <t>Stay in Tayplan</t>
  </si>
  <si>
    <t>No Fixed Workplace</t>
  </si>
  <si>
    <t>Aberdeen City</t>
  </si>
  <si>
    <t>Offshore</t>
  </si>
  <si>
    <t>Aberdeenshire</t>
  </si>
  <si>
    <t>Edinburgh &amp; Lothians</t>
  </si>
  <si>
    <t>North Lanarkshire</t>
  </si>
  <si>
    <t>Falkirk</t>
  </si>
  <si>
    <t>Edinburgh and Lothians</t>
  </si>
  <si>
    <t>Stirling and Clacks</t>
  </si>
  <si>
    <t>Tayplan total</t>
  </si>
  <si>
    <t>Deprivation Top 15% Most Deprived Datazones</t>
  </si>
  <si>
    <t>based off SIMDv2_Percentile</t>
  </si>
  <si>
    <t>6/155</t>
  </si>
  <si>
    <t>2/155</t>
  </si>
  <si>
    <t>3/142</t>
  </si>
  <si>
    <t>59/188</t>
  </si>
  <si>
    <t>55/188</t>
  </si>
  <si>
    <t>55/179</t>
  </si>
  <si>
    <t>1/101</t>
  </si>
  <si>
    <t>0/101</t>
  </si>
  <si>
    <t>..\1526 Data Received\Fife Council\2. Core Output 1\SIMD\simd2012_data_00410767_plusintervals.csv</t>
  </si>
  <si>
    <t>7/186</t>
  </si>
  <si>
    <t>9/186</t>
  </si>
  <si>
    <t>6/175</t>
  </si>
  <si>
    <t>Have screenshots of deprivation map as well</t>
  </si>
  <si>
    <t>% Change Moray</t>
  </si>
  <si>
    <t>% Change Scotland</t>
  </si>
  <si>
    <t>Moray Births</t>
  </si>
  <si>
    <t>Scotland Births</t>
  </si>
  <si>
    <t>Moray Deaths</t>
  </si>
  <si>
    <t>Scotland Deaths</t>
  </si>
  <si>
    <t>% Change</t>
  </si>
  <si>
    <t>Scotland 2022 %</t>
  </si>
  <si>
    <t>Scotland 2042 %</t>
  </si>
  <si>
    <t>Moray Stats</t>
  </si>
  <si>
    <t>Scotland Stats</t>
  </si>
  <si>
    <t>% Change 2022-42 Working Age</t>
  </si>
  <si>
    <t>% Change 2022-42 65+</t>
  </si>
  <si>
    <t>Year</t>
  </si>
  <si>
    <t>Scotland 2018</t>
  </si>
  <si>
    <t>Scotland 2028</t>
  </si>
  <si>
    <t>Scotland 2038</t>
  </si>
  <si>
    <t>Scotland 2043</t>
  </si>
  <si>
    <t>Scotland % Change 2018-2028</t>
  </si>
  <si>
    <t>Scotland % Change 2018-2038</t>
  </si>
  <si>
    <t>Scotland % Change 2018-2043</t>
  </si>
  <si>
    <t>% Differece Moray</t>
  </si>
  <si>
    <t>% Differece Scotland</t>
  </si>
  <si>
    <t xml:space="preserve">Populations Projections Comparison Across All Ages by Year </t>
  </si>
  <si>
    <t>Average annual change 2018-2028</t>
  </si>
  <si>
    <t>Moray Overall Change</t>
  </si>
  <si>
    <t>Scotland Overall Change</t>
  </si>
  <si>
    <t>Moray % Difference</t>
  </si>
  <si>
    <t>Scotland % Difference</t>
  </si>
  <si>
    <t>Scotland Principal</t>
  </si>
  <si>
    <t>Scotland Low Migration</t>
  </si>
  <si>
    <t>Scotland High Migration</t>
  </si>
  <si>
    <t>Scotland Household Types</t>
  </si>
  <si>
    <t>Moray Change (%)</t>
  </si>
  <si>
    <t>Scotland Change (%)</t>
  </si>
  <si>
    <t>Change 2020 - 2021 
 %</t>
  </si>
  <si>
    <t>Change 2011 - 2021 
 %</t>
  </si>
  <si>
    <t>Change 2001 - 2021 
 %</t>
  </si>
  <si>
    <t>Change Moray (%)</t>
  </si>
  <si>
    <t>Change Scotland (%)</t>
  </si>
  <si>
    <t>Difference Moray vs Scotland (%)</t>
  </si>
  <si>
    <t>Household</t>
  </si>
  <si>
    <t>Moray % Change 18-43</t>
  </si>
  <si>
    <t>Scotland % Change 18-43</t>
  </si>
  <si>
    <t>Moray % Change 18-38</t>
  </si>
  <si>
    <t>Scotland % Change 18-38</t>
  </si>
  <si>
    <t>Change 2020-2021</t>
  </si>
  <si>
    <t>Change 2004-2021</t>
  </si>
  <si>
    <t>2020 - 2021 %</t>
  </si>
  <si>
    <t>2004 - 2021%</t>
  </si>
  <si>
    <t xml:space="preserve"> 2011-2021 %</t>
  </si>
  <si>
    <t>Change since 2021</t>
  </si>
  <si>
    <t xml:space="preserve">                                                                                                                                                                                                                           </t>
  </si>
  <si>
    <t>Monthly Average LHA</t>
  </si>
  <si>
    <t>Moray RSL Average (excluding specialist provison)</t>
  </si>
  <si>
    <t>Source: https://arneiljohnston.sharepoint.com/:x:/s/ArneilJohnston/EQbxj6xJR0RPgo4_CCUcrwgBPbgxwuufZZOqJ76LF1HuCw?e=ocqi65</t>
  </si>
  <si>
    <t>Average Rent PCM 2021/22</t>
  </si>
  <si>
    <t xml:space="preserve">RSL Monthly Rent Excl Specialist Provision </t>
  </si>
  <si>
    <t xml:space="preserve">LA Monthly Rent </t>
  </si>
  <si>
    <t xml:space="preserve">RSL Monthly Rent </t>
  </si>
  <si>
    <t xml:space="preserve">PRS Monthly Rent </t>
  </si>
  <si>
    <t>LHA rate Highland and Islands</t>
  </si>
  <si>
    <t xml:space="preserve">LHA rate Aberdeen and Shire </t>
  </si>
  <si>
    <t>Median Houseprice</t>
  </si>
  <si>
    <t>Average Income Required</t>
  </si>
  <si>
    <t>Deposit</t>
  </si>
  <si>
    <t>Mortgage Multiplier</t>
  </si>
  <si>
    <t>Mortgage Factor</t>
  </si>
  <si>
    <t xml:space="preserve">Deposit </t>
  </si>
  <si>
    <t>House Price</t>
  </si>
  <si>
    <t>Gross Household Income</t>
  </si>
  <si>
    <t>SHARED EQUITY</t>
  </si>
  <si>
    <t>LCHO</t>
  </si>
  <si>
    <t>Lower Quartile House Price</t>
  </si>
  <si>
    <t>Median House Price</t>
  </si>
  <si>
    <t>BRES 2019</t>
  </si>
  <si>
    <t>Households by Gender 2021</t>
  </si>
  <si>
    <t>LAs</t>
  </si>
  <si>
    <t>In another way</t>
  </si>
  <si>
    <t>Grand Total</t>
  </si>
  <si>
    <t>Source: Arneil Johnston Survey Data Q24</t>
  </si>
  <si>
    <t>Weighting of Gender Comparison</t>
  </si>
  <si>
    <t>Survey Female</t>
  </si>
  <si>
    <t>NRS Female</t>
  </si>
  <si>
    <t>Survey Male</t>
  </si>
  <si>
    <t>NRS Male</t>
  </si>
  <si>
    <t>LA's</t>
  </si>
  <si>
    <r>
      <t>Source:</t>
    </r>
    <r>
      <rPr>
        <sz val="11"/>
        <color rgb="FF000000"/>
        <rFont val="Arial"/>
        <family val="2"/>
      </rPr>
      <t xml:space="preserve"> Household Projections for Scotland (2018-based) Detailed Scottish Area Tables, NRS, 2020</t>
    </r>
  </si>
  <si>
    <t>Age Banding</t>
  </si>
  <si>
    <t>NRS Weighting</t>
  </si>
  <si>
    <t>NRS Age Bands</t>
  </si>
  <si>
    <t>Under 25</t>
  </si>
  <si>
    <t>25-44</t>
  </si>
  <si>
    <t>45 to 54</t>
  </si>
  <si>
    <t>55 to 74</t>
  </si>
  <si>
    <t>New household formation</t>
  </si>
  <si>
    <t>Don’t know/not stated</t>
  </si>
  <si>
    <t>No, no plans to move</t>
  </si>
  <si>
    <t>Yes, would like to move in the next 2 years</t>
  </si>
  <si>
    <t>Yes, would like to move in the next 2-7 years</t>
  </si>
  <si>
    <t>Don’t know/Not Stated</t>
  </si>
  <si>
    <t>Don’t Want to Move</t>
  </si>
  <si>
    <t>Like to Move</t>
  </si>
  <si>
    <t>Need to Move</t>
  </si>
  <si>
    <t>Number who want need to move in next 2 years</t>
  </si>
  <si>
    <t>% of total that have desire to move</t>
  </si>
  <si>
    <t>Current households - outward migration</t>
  </si>
  <si>
    <t>Don't Know</t>
  </si>
  <si>
    <t>Abroad</t>
  </si>
  <si>
    <t>Elsewhere in Scotland</t>
  </si>
  <si>
    <t>Elsewhere in the UK</t>
  </si>
  <si>
    <t>Inward migration</t>
  </si>
  <si>
    <t>Pre 1990</t>
  </si>
  <si>
    <t>1990-1999</t>
  </si>
  <si>
    <t>2000-2009</t>
  </si>
  <si>
    <t>2010-2019</t>
  </si>
  <si>
    <t>Post 2020</t>
  </si>
  <si>
    <t>Total moved in over last 5 years</t>
  </si>
  <si>
    <t>Table 1.2 Change in number of households 2011 – 2021</t>
  </si>
  <si>
    <t>Table 1.10 Employment levels by local authority</t>
  </si>
  <si>
    <t>Table 1.11 Employment rates by local authority</t>
  </si>
  <si>
    <t xml:space="preserve"> Table 1.12 Model Based Unemployment 2021 Scotland and Moray</t>
  </si>
  <si>
    <t>Table 1.13 Model Based Unemployment Rate 2021 Scotland and Moray</t>
  </si>
  <si>
    <t>Table 1.15 Economic Inactivity rate by local authority, Scotland 2021</t>
  </si>
  <si>
    <t>Table 1.16 Claimant Count by Local Authority October 2020 (Experimental data)</t>
  </si>
  <si>
    <t>Total new businesses 2016 - 2021</t>
  </si>
  <si>
    <t>Table 1.1.3 Components of Population Change</t>
  </si>
  <si>
    <t>Table 1.1.3a Components of Population Change by Birth</t>
  </si>
  <si>
    <t>Table 1.1.3b Components of Population Change by Deaths</t>
  </si>
  <si>
    <t>Table 1.1.4a Population by Age Cohort 2001</t>
  </si>
  <si>
    <t>Table 1.1.4b Population by Age Cohort 2021</t>
  </si>
  <si>
    <t>Table 1.1.4c Population % Change by Age Cohort 2001-2021</t>
  </si>
  <si>
    <t>Table 1.1.5a Population by Age Group &amp; Gender 2022</t>
  </si>
  <si>
    <t>Table 1.1.7 Weighting of Gender Comparison</t>
  </si>
  <si>
    <t>Table 1.1.8: Components of migration by administrative area, mid-2020 to mid-2021</t>
  </si>
  <si>
    <t xml:space="preserve">Table 1.1.9 (Local) Within Scotland net Migration </t>
  </si>
  <si>
    <t>Table 1.1.10a Total net migration for ages 0-15</t>
  </si>
  <si>
    <t>Table 1.1.10b Total net migration for ages 16-64</t>
  </si>
  <si>
    <t>Table 1.1.10c Total net migration for ages 65+</t>
  </si>
  <si>
    <t xml:space="preserve">Table 1.1.12 Populations Projections Comparison Across All Ages by Year </t>
  </si>
  <si>
    <t>Table 1.1.13: Population Projections by All Ages 2018 - 2043 Moray</t>
  </si>
  <si>
    <t>Table 1.1.14: Change in Population Projections by All Ages 2018 - 2043 Moray</t>
  </si>
  <si>
    <t>Table 1.2.1 Household Composition  Profile 2011-2020</t>
  </si>
  <si>
    <t>Table 1.2.2 Average household size for Moray 2011-2021</t>
  </si>
  <si>
    <t>Table 1.2.3 Change in households 2001-2021</t>
  </si>
  <si>
    <t>Table 1.2.4 Household Composition 2022</t>
  </si>
  <si>
    <t>Table 1.3 Household Projections (2018-based)</t>
  </si>
  <si>
    <t>Table 1.3.2 Household by Age of Head of Household, Principal Projection (Scotland)</t>
  </si>
  <si>
    <t>Table 1.3.1 Household by Age of Head of Household, Principal Projection (Moray)</t>
  </si>
  <si>
    <t>Table 1.3.3 % Change in Household by Age of Head of Household, Principal Projection</t>
  </si>
  <si>
    <t>Table 1.3.4 Household Type by Composition, Principal Projection, 2018-2038 (Moray)</t>
  </si>
  <si>
    <t>Table 1.3.5 Household Type by Composition, Principal Projection, 2018-2038 (Scotland)</t>
  </si>
  <si>
    <t>Table 1.3.6 % Change Household Type by Composition, Principal Projection, 2018-2038</t>
  </si>
  <si>
    <t>Table 1.3.7 Household Type by Composition, Low Migration, 2018-2038 (Moray)</t>
  </si>
  <si>
    <t>Table 1.3.8 Household Type by Composition, Low Migration, 2018-2038 (Scotland)</t>
  </si>
  <si>
    <t>Table 1.3.9 % Change in Household Type by Composition, Low Migration, 2018-2038</t>
  </si>
  <si>
    <t>Table 1.3.10 Household Type by Composition, High Migration, 2018-2038 (Moray)</t>
  </si>
  <si>
    <t>Table 1.3.11 Household Type by Composition, High Migration, 2018-2038 (Scotland)</t>
  </si>
  <si>
    <t>Table 1.3.12 % Change in Household Type by Composition, High Migration, 2018-2038</t>
  </si>
  <si>
    <t>Table 1.4.1a Household by Age of Head of Household, Survey Data</t>
  </si>
  <si>
    <t>Table 1.4.2a: Is there anyone currently living in this household who would like to live in separate accommodation, within the next few years, if that were possible?</t>
  </si>
  <si>
    <t>Table 1.4.2b: YES, would like to move in the next 2 years</t>
  </si>
  <si>
    <t>Table 1.4.3a: Current households who would like/need to move in next 2 years - Location HH want/need to move to</t>
  </si>
  <si>
    <t>Table 1.4.3b Now thinking about the property you lived in immediately before moving to your current house, where was this property?</t>
  </si>
  <si>
    <t>Table 1.4.4a Year Moved In</t>
  </si>
  <si>
    <t>Table 1.4.4bYear Moved Out</t>
  </si>
  <si>
    <t>Table 1.5.1a Change in House Sale Volumes 2020 - 2021</t>
  </si>
  <si>
    <t>Table 1.5.1 House Sale Volumes</t>
  </si>
  <si>
    <t>Table 1.5.1b Change in House Sale Volumes 2011 - 2021</t>
  </si>
  <si>
    <t>Table 1.5.1c Change in House Sale Volumes 2004 - 2021</t>
  </si>
  <si>
    <t>Table 1.5.2 % Change in Average House Sale Values</t>
  </si>
  <si>
    <t>Table 1.5.3 Median House Sale Values</t>
  </si>
  <si>
    <t>Table 1.6.1 PRS Monthly Average Rents 2010-2020</t>
  </si>
  <si>
    <t>Table 1.6.2a PRS Monthly Average Rents by Property Size 2011</t>
  </si>
  <si>
    <t>Table 1.6.2b PRS Monthly Average Rents by Property Size 2020</t>
  </si>
  <si>
    <t>Table 1.6.3b PRS Monthly Average Rents by Property Size 2021</t>
  </si>
  <si>
    <t>Table 1.7.2 Local Authority Rent Levels by Property Size 2021</t>
  </si>
  <si>
    <t>Table 1.7.3 RSL Rent Levels by Property Size 2021</t>
  </si>
  <si>
    <t>Table 1.7.4 Tenure Rent Levels Comparison 2020 by Property Size 2021/22</t>
  </si>
  <si>
    <t>Table 1.8.1 Income Profile Estimates</t>
  </si>
  <si>
    <t xml:space="preserve">Table 1.8.2a CACI Banded Income Profile </t>
  </si>
  <si>
    <t>Table 1.8.2b: Household Incomes Estimates 2014 and 2018</t>
  </si>
  <si>
    <t>Table 1.9.1a Housing Affordability Outcomes by Tenure (25%)</t>
  </si>
  <si>
    <t>Table 1.9.1b Housing Affordability Outcomes by Tenure (30%)</t>
  </si>
  <si>
    <t>Table 1.9.2a House Price Affordability Multiplier</t>
  </si>
  <si>
    <t>Table 1.9.2b Income : Mortgage Affordability</t>
  </si>
  <si>
    <t>Table 1.9.2c Income : Mortgage Affordability</t>
  </si>
  <si>
    <t>Table 1.18 Gross Added Value</t>
  </si>
  <si>
    <t>Table 1.23 Enterprises by broad industry group 2022</t>
  </si>
  <si>
    <t>Moray Total Claimants</t>
  </si>
  <si>
    <t>Scotland Total Claimants</t>
  </si>
  <si>
    <t>% Change on year 
Moray</t>
  </si>
  <si>
    <t>% Change on year 
Scotland</t>
  </si>
  <si>
    <t>Claimant Count rate
 (%) Moray</t>
  </si>
  <si>
    <t>Claimant Count rate 
(%) Scotland</t>
  </si>
  <si>
    <t>Change on year 
(%pts) Moray</t>
  </si>
  <si>
    <t>Change on year 
(%pts) Scotland</t>
  </si>
  <si>
    <t>Year (Beginning Nov)</t>
  </si>
  <si>
    <t>Table 1.17 Gross Added Value</t>
  </si>
  <si>
    <t>Table 1.19 Employment (thousands) by Local Authority County 2021</t>
  </si>
  <si>
    <t>Table 1.20 Weighting of Full Time and Part Time Employment</t>
  </si>
  <si>
    <t>Table 1.21 Employment (thousands) by Local Authority County 2021</t>
  </si>
  <si>
    <t>Table 1.22 Enterprises by broad industry group 2022</t>
  </si>
  <si>
    <t>Table 1.24a Count of Births of New Enterprises</t>
  </si>
  <si>
    <t>Table 1.24b Count of Death of New Enterprises</t>
  </si>
  <si>
    <t>Table 1.25 Gross Weekly Pay for All Employee Jobs</t>
  </si>
  <si>
    <t>Moray Working age population:</t>
  </si>
  <si>
    <t>Moray Working age population change:</t>
  </si>
  <si>
    <t>Moray Over 65 Population:</t>
  </si>
  <si>
    <t>Moray Over 65 Population Change:</t>
  </si>
  <si>
    <t>Working People</t>
  </si>
  <si>
    <t>65+ People</t>
  </si>
  <si>
    <t>Table 1.1.5d % Population Change by Age Group &amp; Gender 2022 -2032</t>
  </si>
  <si>
    <t>Table 1.1.5b Population by Age Group &amp; Gender 2032</t>
  </si>
  <si>
    <t>Table 1.1.5c Population by Age Group &amp; Gender 2042</t>
  </si>
  <si>
    <t>Table 1.1.5e % Population Change by Age Group &amp; Gender 2022 -2042</t>
  </si>
  <si>
    <t>Table 1.1.5f Population by Age Group 2022</t>
  </si>
  <si>
    <t>Table 1.1.5g Population by Age Group 2042</t>
  </si>
  <si>
    <t>Table 1.1.5h Population by Age Group 2022-2042</t>
  </si>
  <si>
    <t>% Change 2004 - 2021</t>
  </si>
  <si>
    <t>% difference in migration between Working Age Population and Under 15 Population.</t>
  </si>
  <si>
    <t>Average Migration Moray 0-15</t>
  </si>
  <si>
    <t>Average Migration Moray 16-64</t>
  </si>
  <si>
    <t>% Change 2018 - 2043</t>
  </si>
  <si>
    <t>Average annual change 2018-2043</t>
  </si>
  <si>
    <t>Table 1.26 Deprivation Top 20% Most Deprived Datazones</t>
  </si>
  <si>
    <t>% diff 2016 - 2019</t>
  </si>
  <si>
    <t>Number who want /need to migrate out of Moray</t>
  </si>
  <si>
    <t>Number who moved into Moray</t>
  </si>
  <si>
    <t>Table 1.1.11 Populations Projections by Age Band Moray 2018 - 2043</t>
  </si>
  <si>
    <t>Moray HMP 2020 HNDA Study: Information Requirements</t>
  </si>
  <si>
    <t>Housing Affordability</t>
  </si>
  <si>
    <t>1.1.1</t>
  </si>
  <si>
    <t>1.1.2</t>
  </si>
  <si>
    <t>1.1.3</t>
  </si>
  <si>
    <t>1.1.4</t>
  </si>
  <si>
    <t>Population Change 2000-2019</t>
  </si>
  <si>
    <t>Components of Population Change</t>
  </si>
  <si>
    <t>Population by Age Cohort 2001</t>
  </si>
  <si>
    <t>Population by Age Group &amp; Gender 2022</t>
  </si>
  <si>
    <t>1.1.6</t>
  </si>
  <si>
    <t>Arneil Johnston Survey Data</t>
  </si>
  <si>
    <t>1.1.7</t>
  </si>
  <si>
    <t>1.1.8</t>
  </si>
  <si>
    <t>1.1.9</t>
  </si>
  <si>
    <t>1.1.11</t>
  </si>
  <si>
    <t>1.1.12</t>
  </si>
  <si>
    <t>1.1.13</t>
  </si>
  <si>
    <t>1.1.14</t>
  </si>
  <si>
    <t>Components of migration by administrative area, mid-2020 to mid-2021</t>
  </si>
  <si>
    <t>(Local) Within Scotland net Migration</t>
  </si>
  <si>
    <t>Populations Projections by Age Band 2018 - 2043</t>
  </si>
  <si>
    <t>Population Projections by All Ages 2018 - 2043</t>
  </si>
  <si>
    <t>Change in Population Projections by All Ages 2018 - 2043</t>
  </si>
  <si>
    <t>1.2.1</t>
  </si>
  <si>
    <t>Change in number of households 2011 – 2021</t>
  </si>
  <si>
    <t>Household Composition  Profile 2011-2020</t>
  </si>
  <si>
    <t>National Records of Scotland + 2011 Census</t>
  </si>
  <si>
    <t>2011 CENSUS</t>
  </si>
  <si>
    <t>Average household size</t>
  </si>
  <si>
    <t>1.2.2</t>
  </si>
  <si>
    <t>1.2.3</t>
  </si>
  <si>
    <t>Change in households</t>
  </si>
  <si>
    <t>1.2.4</t>
  </si>
  <si>
    <t>Household Composition 2022</t>
  </si>
  <si>
    <t>Household Projections (2018-based)</t>
  </si>
  <si>
    <t>1.3.1</t>
  </si>
  <si>
    <t>Household by Age of Head of Household, Principal Projection</t>
  </si>
  <si>
    <t>1.3.2</t>
  </si>
  <si>
    <t>Household by Age of Head of Household, Principal Projection (Scotland)</t>
  </si>
  <si>
    <t>Household by Age of Head of Household, Principal Projection (Moray)</t>
  </si>
  <si>
    <t>1.3.3</t>
  </si>
  <si>
    <t xml:space="preserve"> Household Type by Composition, Principal Projection, 2018-2038 (Moray)</t>
  </si>
  <si>
    <t xml:space="preserve"> Household Type by Composition, Principal Projection, 2018-2038 (Scotland)</t>
  </si>
  <si>
    <t>Change Household Type by Composition, Principal Projection, 2018-2038</t>
  </si>
  <si>
    <t>Change in Household by Age of Head of Household, Principal Projection</t>
  </si>
  <si>
    <t>1.3.4</t>
  </si>
  <si>
    <t>1.3.5</t>
  </si>
  <si>
    <t>1.3.6</t>
  </si>
  <si>
    <t>1.3.7</t>
  </si>
  <si>
    <t>Household Type by Composition, Low Migration, 2018-2038 (Moray)</t>
  </si>
  <si>
    <t xml:space="preserve"> Household Type by Composition, Low Migration, 2018-2038 (Scotland)</t>
  </si>
  <si>
    <t>1.3.8</t>
  </si>
  <si>
    <t>1.3.9</t>
  </si>
  <si>
    <t>1.3.10</t>
  </si>
  <si>
    <t>1.3.11</t>
  </si>
  <si>
    <t>1.3.12</t>
  </si>
  <si>
    <t>Change in Household Type by Composition, Low Migration, 2018-2038</t>
  </si>
  <si>
    <t>Household Type by Composition, High Migration, 2018-2038 (Moray)</t>
  </si>
  <si>
    <t>Household Type by Composition, High Migration, 2018-2038 (Scotland)</t>
  </si>
  <si>
    <t>Change in Household Type by Composition, High Migration, 2018-2038</t>
  </si>
  <si>
    <t>1.3.13</t>
  </si>
  <si>
    <t>Moray Population Projections All Migration Levels</t>
  </si>
  <si>
    <t>Table 1.4 Household by Age of Head of Household, Principal Projection</t>
  </si>
  <si>
    <t>1.4.1</t>
  </si>
  <si>
    <t>Household by Age of Head of Household</t>
  </si>
  <si>
    <t>New Household Formation</t>
  </si>
  <si>
    <t>Current Households - Outward Migration</t>
  </si>
  <si>
    <t>Scottish Government Statistics</t>
  </si>
  <si>
    <t>1.5.1</t>
  </si>
  <si>
    <t>House Sale Volumes</t>
  </si>
  <si>
    <t>Change in Average House Sale Values</t>
  </si>
  <si>
    <t>1.5.2</t>
  </si>
  <si>
    <t>Median House Sale Values</t>
  </si>
  <si>
    <t>1.5.3</t>
  </si>
  <si>
    <t>House Sale Values 2020 Datapack (2018/19)</t>
  </si>
  <si>
    <t>CHMA - HNDA Datapack</t>
  </si>
  <si>
    <t>PRS Monthly Average Rents 2010-2020</t>
  </si>
  <si>
    <t>1.6.1</t>
  </si>
  <si>
    <t>Scottish Government BRMA Dataset 2021</t>
  </si>
  <si>
    <t>Local Housing Allowance Levels by Property Size</t>
  </si>
  <si>
    <t>1.7.1</t>
  </si>
  <si>
    <t>Scottish Housing Regulator AFS Data</t>
  </si>
  <si>
    <t>1.7.2</t>
  </si>
  <si>
    <t>Local Authority Rent Levels by Property Size 2021</t>
  </si>
  <si>
    <t>1.7.3</t>
  </si>
  <si>
    <t>RSL Rent Levels by Property Size 2021</t>
  </si>
  <si>
    <t>Tenure Rent Levels Comparison 2020 by Property Size 2021/22</t>
  </si>
  <si>
    <t>1.7.4</t>
  </si>
  <si>
    <t>1.8.1</t>
  </si>
  <si>
    <t>Income Profile Estimates</t>
  </si>
  <si>
    <t>CHMA HNDA Tool 2020 version 4.0</t>
  </si>
  <si>
    <t xml:space="preserve">CACI Banded Income Profile </t>
  </si>
  <si>
    <t>CACI Paycheck</t>
  </si>
  <si>
    <t>Table 1.8.2c: Average Income by Household Attributes</t>
  </si>
  <si>
    <t>House/Mortgage Price Affordability</t>
  </si>
  <si>
    <t>AJ Housing Affordability Tool</t>
  </si>
  <si>
    <t>Employment levels by local authority</t>
  </si>
  <si>
    <t>Scotland Labour Market</t>
  </si>
  <si>
    <t>Employment rates by local authority</t>
  </si>
  <si>
    <t>Model Based Unemployment 2021</t>
  </si>
  <si>
    <t>Table 1.14 Economic Inactivity levels by local authority 2021</t>
  </si>
  <si>
    <t>Economic Inactivity levels by local authority 2021</t>
  </si>
  <si>
    <t>Economic Inactivity rate by local authority 2021</t>
  </si>
  <si>
    <t xml:space="preserve">Claimant Count by Local Authority October 2020 </t>
  </si>
  <si>
    <t>Claimant Court, ONS</t>
  </si>
  <si>
    <t>Gross Added Value</t>
  </si>
  <si>
    <t xml:space="preserve"> Scottish Annual Business Statistics</t>
  </si>
  <si>
    <t>Weighting of Full Time and Part Time Employment</t>
  </si>
  <si>
    <t>BRES</t>
  </si>
  <si>
    <t>BRES + Arneil Johnston Survey Data</t>
  </si>
  <si>
    <t>Births/Deaths of New Enterprises</t>
  </si>
  <si>
    <t>ASHE</t>
  </si>
  <si>
    <t>SIMD</t>
  </si>
  <si>
    <t>House Sales and Prices</t>
  </si>
  <si>
    <t>Cairngorms NP</t>
  </si>
  <si>
    <t>Number of Sales</t>
  </si>
  <si>
    <t>RUK</t>
  </si>
  <si>
    <t>WORLD</t>
  </si>
  <si>
    <t>City of Edinburgh</t>
  </si>
  <si>
    <t>Rest of Scotland</t>
  </si>
  <si>
    <t>Number of sales</t>
  </si>
  <si>
    <t>2019/20</t>
  </si>
  <si>
    <t>2018/19</t>
  </si>
  <si>
    <t>2017/18</t>
  </si>
  <si>
    <t>2017-2022</t>
  </si>
  <si>
    <t>Sale HMA</t>
  </si>
  <si>
    <t>Purchaser Origin</t>
  </si>
  <si>
    <t>World</t>
  </si>
  <si>
    <t xml:space="preserve">Cairngorms </t>
  </si>
  <si>
    <t>Beyond UK</t>
  </si>
  <si>
    <t>Table 1.27 All House Sales Moray Containment and Migration Analysis (2019/20, 2018/19 &amp; 2017 CHMA Data Pack)</t>
  </si>
  <si>
    <t>Table 1.27a All House Sales 2017-2020</t>
  </si>
  <si>
    <t>Table 1.27b Average Annual House Sales 2017-2020</t>
  </si>
  <si>
    <t>Table 1.27c Average Annual House Sales 2017-2020 Containment and Migration</t>
  </si>
  <si>
    <t>Table 1.28 House Sales Origin of Buyer within Moray 2017-2020</t>
  </si>
  <si>
    <t>Table 1.28a House Sales Origin of Buyer within Moray 2017-2020</t>
  </si>
  <si>
    <t>Table 1.28b Average Annual House Sales Origin of Buyer within Moray 2017-2020</t>
  </si>
  <si>
    <t>Table 1.28c Average Annual House Sales Origin of Buyer within Moray 2017-2020</t>
  </si>
  <si>
    <t>Table 1.29b Sale Price Analysis 2019 Data Pack (2018/19)</t>
  </si>
  <si>
    <t>Table 1.29 Sale Price Analysis 2017-2020</t>
  </si>
  <si>
    <t>Table 1.30 Average Sale Price by Purchaser Origin and Sale HMA (2017-2022)</t>
  </si>
  <si>
    <t>Table 1.30b Average Sale Price by Purchaser Origin and Sale HMA (2019 Data Pack)</t>
  </si>
  <si>
    <t>Table 1.29a Sale Price Analysis 2017 Data Pack (2017/18)</t>
  </si>
  <si>
    <t>Table 1.29c Sale Price Analysis 2020 Data Pack (2019/20)</t>
  </si>
  <si>
    <t>Table 1.30a Average Sale Price by Purchaser Origin and Sale HMA (2017 Data Pack)</t>
  </si>
  <si>
    <t>Table 1.30c Average Sale Price by Purchaser Origin and Sale HMA (2020 Data Pack)</t>
  </si>
  <si>
    <t xml:space="preserve">Table 1.31 House Sales and Price Analysis </t>
  </si>
  <si>
    <t>Table 1.1.6 Households by Gender 2022</t>
  </si>
  <si>
    <t>Source: HNDA 2022 Household Survey Q20</t>
  </si>
  <si>
    <t>Source: HNDA 2022Household Survey Q25</t>
  </si>
  <si>
    <t>Source: Arneil Johnston Survey Data Q28</t>
  </si>
  <si>
    <t>Source: Arneil Johnston Survey Data Q17</t>
  </si>
  <si>
    <t>Source: Arneil Johnston Survey Data Q18a</t>
  </si>
  <si>
    <t>Source: Arneil Johnston Survey Q43</t>
  </si>
  <si>
    <t>Source: Arneil Johnston Survey Data Q42</t>
  </si>
  <si>
    <r>
      <t>Source:</t>
    </r>
    <r>
      <rPr>
        <sz val="11"/>
        <color rgb="FF000000"/>
        <rFont val="Arial"/>
        <family val="2"/>
      </rPr>
      <t xml:space="preserve"> Arneil Johnston 2022 Survey Data</t>
    </r>
    <r>
      <rPr>
        <sz val="11"/>
        <color theme="1"/>
        <rFont val="Arial"/>
        <family val="2"/>
      </rPr>
      <t xml:space="preserve"> Q41</t>
    </r>
  </si>
  <si>
    <t>Source: Arneil Johnston Survey Data Q18b</t>
  </si>
  <si>
    <t>AJ Survey 2023</t>
  </si>
  <si>
    <t>Table 1.1.2 Population Change 2001-2021</t>
  </si>
  <si>
    <t>Table 1.1 Population Change 2001-2021</t>
  </si>
  <si>
    <t>Table 1.3.13 Moray Household Population Projections All Migration Levels</t>
  </si>
  <si>
    <t>% Difference LHA Aberdeen and Shire - PRS Rent</t>
  </si>
  <si>
    <t>% Difference LHA Highlands and Islands - PRS Rent</t>
  </si>
  <si>
    <t xml:space="preserve">Highland and Islands </t>
  </si>
  <si>
    <t xml:space="preserve">Aberdeen and Shire </t>
  </si>
  <si>
    <t>Table 1.7.1 Local Housing Allowance Levels by Property Size 2021/22</t>
  </si>
  <si>
    <t>https://www.gov.scot/publications/local-housing-allowance-rates-2021-2022/</t>
  </si>
  <si>
    <t>Monthly Average PRS</t>
  </si>
  <si>
    <t xml:space="preserve">Moray HMA </t>
  </si>
  <si>
    <t>Less than 10%</t>
  </si>
  <si>
    <t>10-20%</t>
  </si>
  <si>
    <t>21-25%</t>
  </si>
  <si>
    <t>26-30%</t>
  </si>
  <si>
    <t>31-40%</t>
  </si>
  <si>
    <t>More than 40%</t>
  </si>
  <si>
    <t>Own outright</t>
  </si>
  <si>
    <t>Don't know</t>
  </si>
  <si>
    <t xml:space="preserve">Total </t>
  </si>
  <si>
    <t xml:space="preserve">Table 1.9.2.d : Proportion of Household Income Required to Meet Mortage or Rent </t>
  </si>
  <si>
    <t xml:space="preserve">Area </t>
  </si>
  <si>
    <t>Table 1.5.4a House Values 2019 Data Pack (2018/19)</t>
  </si>
  <si>
    <t>Table 1.5.4b House Sale Values 2020 Datapack (2019/20)</t>
  </si>
  <si>
    <t>Median Incomes  2018</t>
  </si>
  <si>
    <t>Median House prices 2018/19</t>
  </si>
  <si>
    <t>Income to Price Ratio</t>
  </si>
  <si>
    <t xml:space="preserve">Table 1.9.2.f: Income to Price Ratio per Moray HMA 2018/19 </t>
  </si>
  <si>
    <t xml:space="preserve">Moray Council Rents </t>
  </si>
  <si>
    <t xml:space="preserve">RSL Rents </t>
  </si>
  <si>
    <t>Private Sector Rents</t>
  </si>
  <si>
    <t>LHA Highlands and Islands</t>
  </si>
  <si>
    <t>% Change 2032-27</t>
  </si>
  <si>
    <t>% Change 2032-42</t>
  </si>
  <si>
    <t>% Change between 2022 to 2044</t>
  </si>
  <si>
    <t xml:space="preserve">More Than 25% </t>
  </si>
  <si>
    <t xml:space="preserve">More Than 33% </t>
  </si>
  <si>
    <t>% Change 2022-2042</t>
  </si>
  <si>
    <t>All House Sales Moray</t>
  </si>
  <si>
    <t>House Sales Origin of Buyer</t>
  </si>
  <si>
    <t>Sale Price Analysis</t>
  </si>
  <si>
    <t>Average Sale Price by Purchaser Origin</t>
  </si>
  <si>
    <t xml:space="preserve">House Sales and Price Analysis </t>
  </si>
  <si>
    <t>CHMA</t>
  </si>
  <si>
    <t>Table 1.27 All House Sales Moray</t>
  </si>
  <si>
    <t>Table 1.29 Sale Price Analysis</t>
  </si>
  <si>
    <t>Table 1.31 House Sales and Price Analysis</t>
  </si>
  <si>
    <t>Table 1.28 House Sales Origin of Buyer</t>
  </si>
  <si>
    <t>Table 1.30 Average Sale Price by Purchaser Origin</t>
  </si>
  <si>
    <t>1.1.3a</t>
  </si>
  <si>
    <t>1.1.3b</t>
  </si>
  <si>
    <t>Components of Population Change by Birth</t>
  </si>
  <si>
    <t>Components of Population Change by Deaths</t>
  </si>
  <si>
    <t>1.1.5a</t>
  </si>
  <si>
    <t>1.1.5b</t>
  </si>
  <si>
    <t>1.1.5c</t>
  </si>
  <si>
    <t>1.1.5d</t>
  </si>
  <si>
    <t>1.1.5e</t>
  </si>
  <si>
    <t>1.1.5f</t>
  </si>
  <si>
    <t>1.1.5g</t>
  </si>
  <si>
    <t>1.1.5h</t>
  </si>
  <si>
    <t>Population by Age Group &amp; Gender 2032</t>
  </si>
  <si>
    <t>Population by Age Group &amp; Gender 2042</t>
  </si>
  <si>
    <t>% Population Change by Age Group &amp; Gender 2022 -2042</t>
  </si>
  <si>
    <t>Population by Age Group 2022</t>
  </si>
  <si>
    <t>Population by Age Group 2042</t>
  </si>
  <si>
    <t>Population by Age Group 2022 - 2042</t>
  </si>
  <si>
    <t>% Population Change by Age Group &amp; Gender 2022 - 2032</t>
  </si>
  <si>
    <t>1.1.10a</t>
  </si>
  <si>
    <t>1.1.10b</t>
  </si>
  <si>
    <t>1.1.10c</t>
  </si>
  <si>
    <t>Total Net Migrations by Age Group 0 - 15</t>
  </si>
  <si>
    <t>Total Net Migrations by Age Group 16 - 64</t>
  </si>
  <si>
    <t>Total Net Migrations by Age Group 65+</t>
  </si>
  <si>
    <t>1.4.2a</t>
  </si>
  <si>
    <t>1.4.2b</t>
  </si>
  <si>
    <t>1.4.3b</t>
  </si>
  <si>
    <t>1.4.3a</t>
  </si>
  <si>
    <t>1.4.4a</t>
  </si>
  <si>
    <t>1.4.4b</t>
  </si>
  <si>
    <t>Year Moved In</t>
  </si>
  <si>
    <t>Year Moved Out</t>
  </si>
  <si>
    <t>1.5.1a</t>
  </si>
  <si>
    <t>1.5.1b</t>
  </si>
  <si>
    <t>1.5.1c</t>
  </si>
  <si>
    <t>Change in House Sale Volumes 2020 - 2021</t>
  </si>
  <si>
    <t>Change in House Sale Volumes 2011 - 2021</t>
  </si>
  <si>
    <t>Change in House Sale Volumes 2004 - 2021</t>
  </si>
  <si>
    <t>1.5.4a</t>
  </si>
  <si>
    <t>1.5.4b</t>
  </si>
  <si>
    <t>House Sale Values 2020 Datapack (2019/20)</t>
  </si>
  <si>
    <t>1.6.2a</t>
  </si>
  <si>
    <t>1.6.2b</t>
  </si>
  <si>
    <t>1.6.2c</t>
  </si>
  <si>
    <t>PRS Monthly Average Rents by Property Size 2011</t>
  </si>
  <si>
    <t>PRS Monthly Average Rents by Property Size 2020</t>
  </si>
  <si>
    <t>PRS Monthly Average Rents by Property Size 2021</t>
  </si>
  <si>
    <t>1.8.2a</t>
  </si>
  <si>
    <t>1.8.2b</t>
  </si>
  <si>
    <t>1.8.2c</t>
  </si>
  <si>
    <t>Household Incomes Estimates 2014 and 2018</t>
  </si>
  <si>
    <t>Average Income by Household Attributes</t>
  </si>
  <si>
    <t>Scottish Governemnt Income Estimates</t>
  </si>
  <si>
    <t>Scottish Housing Condition Survey</t>
  </si>
  <si>
    <t>1.9.1a</t>
  </si>
  <si>
    <t>1.9.1b</t>
  </si>
  <si>
    <t>Housing Affordability Outcomes by Tenure (30%)</t>
  </si>
  <si>
    <t>Housing Affordability Outcomes by Tenure (25%)</t>
  </si>
  <si>
    <t>1.9.2a</t>
  </si>
  <si>
    <t>1.9.2b</t>
  </si>
  <si>
    <t>1.9.2c</t>
  </si>
  <si>
    <t>1.9.2d</t>
  </si>
  <si>
    <t>1.9.2e</t>
  </si>
  <si>
    <t>1.9.2f</t>
  </si>
  <si>
    <t>Income : Mortgage Affordability</t>
  </si>
  <si>
    <t xml:space="preserve">Proportion of Household Income Required to Meet Mortage or Rent </t>
  </si>
  <si>
    <t>Table 1.9.2.e: Income to House Price Ratio 2021</t>
  </si>
  <si>
    <t>Income to House Price Ratio 2021</t>
  </si>
  <si>
    <t xml:space="preserve">Income to Price Ratio per Moray HMA 2018/19 </t>
  </si>
  <si>
    <t>1.24a</t>
  </si>
  <si>
    <t>1.24b</t>
  </si>
  <si>
    <t>Count of Death of New Enterprises</t>
  </si>
  <si>
    <t>Change 2011-2021</t>
  </si>
  <si>
    <t>1-4 Bed Average Rent PCM 2021</t>
  </si>
  <si>
    <t>Source: Tables 1.24-1.27</t>
  </si>
  <si>
    <t>Moray Incomes 2021</t>
  </si>
  <si>
    <t>Moray House Prices 2021</t>
  </si>
  <si>
    <t>Lower Quartile</t>
  </si>
  <si>
    <t>Median Income</t>
  </si>
  <si>
    <t>CACI PayCheck Income Benchmarks for Moray 2021</t>
  </si>
  <si>
    <t xml:space="preserve">Scotland </t>
  </si>
  <si>
    <t>% Diffference Moray/Scotland</t>
  </si>
  <si>
    <t>Mode Income</t>
  </si>
  <si>
    <t>Mean Income</t>
  </si>
  <si>
    <t>Buckie HMA</t>
  </si>
  <si>
    <t>Elgin HMA</t>
  </si>
  <si>
    <t>Forres HMA</t>
  </si>
  <si>
    <t>Keith HMA</t>
  </si>
  <si>
    <t>Speyside HMA</t>
  </si>
  <si>
    <t>LQ Incomes 2014</t>
  </si>
  <si>
    <t>LQ Incomes 2018</t>
  </si>
  <si>
    <t>LQ Incomes 2014 (LLHIE)</t>
  </si>
  <si>
    <t>LQ Incomes 2018 (LLHIE)</t>
  </si>
  <si>
    <t>LQ Incomes 2021 (CACI)</t>
  </si>
  <si>
    <t>% Difference 2018-2021</t>
  </si>
  <si>
    <t>Table 1.8.2c: Household Incomes Estimates 2014 and 2018 by HMA</t>
  </si>
  <si>
    <t>Table 1.8.2d: Household Incomes Estimates 2014, 2018 and 2021</t>
  </si>
  <si>
    <t>Source: Scottish Government Income Estimates 2014 and 2018 and CACI Paycheck Data 2021</t>
  </si>
  <si>
    <t>Table 1.8.2d: Average Income by Household Attributes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</si>
</sst>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quot;£&quot;#,##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_-* #,##0_-;\-* #,##0_-;_-* &quot;-&quot;??_-;_-@_-"/>
    <numFmt numFmtId="167" formatCode="0.0%"/>
    <numFmt numFmtId="168" formatCode="0.0"/>
    <numFmt numFmtId="169" formatCode="#,##0.0"/>
    <numFmt numFmtId="170" formatCode="###,###,##0.0"/>
    <numFmt numFmtId="171" formatCode="_-&quot;£&quot;* #,##0_-;\-&quot;£&quot;* #,##0_-;_-&quot;£&quot;* &quot;-&quot;??_-;_-@_-"/>
    <numFmt numFmtId="172" formatCode="0.0000%"/>
  </numFmts>
  <fonts count="94" x14ac:knownFonts="1">
    <font>
      <sz val="11"/>
      <color theme="1"/>
      <name val="Calibri"/>
      <family val="2"/>
      <scheme val="minor"/>
    </font>
    <font>
      <sz val="12"/>
      <color rgb="FFFF0000"/>
      <name val="Arial"/>
      <family val="2"/>
    </font>
    <font>
      <sz val="11"/>
      <color theme="1"/>
      <name val="Calibri"/>
      <family val="2"/>
      <scheme val="minor"/>
    </font>
    <font>
      <sz val="12"/>
      <color theme="1"/>
      <name val="Arial"/>
      <family val="2"/>
    </font>
    <font>
      <sz val="12"/>
      <name val="Arial"/>
      <family val="2"/>
    </font>
    <font>
      <sz val="14"/>
      <name val="Arial"/>
      <family val="2"/>
    </font>
    <font>
      <sz val="14"/>
      <color theme="0"/>
      <name val="Arial"/>
      <family val="2"/>
    </font>
    <font>
      <sz val="12"/>
      <color theme="0"/>
      <name val="Arial"/>
      <family val="2"/>
    </font>
    <font>
      <u/>
      <sz val="11"/>
      <color theme="10"/>
      <name val="Calibri"/>
      <family val="2"/>
      <scheme val="minor"/>
    </font>
    <font>
      <sz val="11"/>
      <color rgb="FF000000"/>
      <name val="Arial"/>
      <family val="2"/>
    </font>
    <font>
      <sz val="11"/>
      <color theme="1"/>
      <name val="Arial"/>
      <family val="2"/>
    </font>
    <font>
      <i/>
      <sz val="11"/>
      <color theme="1"/>
      <name val="Arial"/>
      <family val="2"/>
    </font>
    <font>
      <sz val="11"/>
      <color theme="0"/>
      <name val="Arial"/>
      <family val="2"/>
    </font>
    <font>
      <b/>
      <sz val="11"/>
      <color theme="1"/>
      <name val="Arial"/>
      <family val="2"/>
    </font>
    <font>
      <sz val="8"/>
      <name val="Calibri"/>
      <family val="2"/>
      <scheme val="minor"/>
    </font>
    <font>
      <sz val="11"/>
      <color rgb="FF00B050"/>
      <name val="Arial"/>
      <family val="2"/>
    </font>
    <font>
      <sz val="10"/>
      <name val="Arial"/>
      <family val="2"/>
    </font>
    <font>
      <u/>
      <sz val="10"/>
      <color indexed="12"/>
      <name val="Arial"/>
      <family val="2"/>
    </font>
    <font>
      <i/>
      <sz val="11"/>
      <color rgb="FF000000"/>
      <name val="Arial"/>
      <family val="2"/>
    </font>
    <font>
      <sz val="11"/>
      <name val="Arial"/>
      <family val="2"/>
    </font>
    <font>
      <u/>
      <sz val="11"/>
      <color theme="10"/>
      <name val="Arial"/>
      <family val="2"/>
    </font>
    <font>
      <i/>
      <sz val="12"/>
      <color theme="0"/>
      <name val="Arial"/>
      <family val="2"/>
    </font>
    <font>
      <sz val="12"/>
      <color rgb="FF000000"/>
      <name val="Arial"/>
      <family val="2"/>
    </font>
    <font>
      <b/>
      <sz val="11"/>
      <color theme="1"/>
      <name val="Calibri"/>
      <family val="2"/>
      <scheme val="minor"/>
    </font>
    <font>
      <b/>
      <sz val="11"/>
      <color theme="0"/>
      <name val="Arial"/>
      <family val="2"/>
    </font>
    <font>
      <sz val="8"/>
      <color theme="1"/>
      <name val="Arial"/>
      <family val="2"/>
    </font>
    <font>
      <b/>
      <sz val="11"/>
      <name val="Arial"/>
      <family val="2"/>
    </font>
    <font>
      <b/>
      <sz val="14"/>
      <color theme="1"/>
      <name val="Arial"/>
      <family val="2"/>
    </font>
    <font>
      <b/>
      <sz val="14"/>
      <color theme="0" tint="-4.9989318521683403E-2"/>
      <name val="Arial"/>
      <family val="2"/>
    </font>
    <font>
      <b/>
      <sz val="16"/>
      <color theme="0" tint="-4.9989318521683403E-2"/>
      <name val="Arial"/>
      <family val="2"/>
    </font>
    <font>
      <sz val="11"/>
      <color rgb="FF000000"/>
      <name val="Calibri"/>
      <family val="2"/>
      <scheme val="minor"/>
    </font>
    <font>
      <sz val="8"/>
      <name val="Arial"/>
      <family val="2"/>
    </font>
    <font>
      <b/>
      <sz val="9"/>
      <color theme="1"/>
      <name val="Arial"/>
      <family val="2"/>
    </font>
    <font>
      <vertAlign val="superscript"/>
      <sz val="11"/>
      <name val="Arial"/>
      <family val="2"/>
    </font>
    <font>
      <b/>
      <sz val="11"/>
      <color rgb="FF000000"/>
      <name val="Arial"/>
      <family val="2"/>
    </font>
    <font>
      <sz val="10"/>
      <name val="Arial"/>
      <family val="2"/>
    </font>
    <font>
      <sz val="11"/>
      <name val="Calibri"/>
      <family val="2"/>
    </font>
    <font>
      <i/>
      <sz val="10"/>
      <name val="Arial"/>
      <family val="2"/>
    </font>
    <font>
      <b/>
      <i/>
      <sz val="11"/>
      <color theme="1"/>
      <name val="Arial"/>
      <family val="2"/>
    </font>
    <font>
      <sz val="14"/>
      <color theme="1"/>
      <name val="Arial"/>
      <family val="2"/>
    </font>
    <font>
      <sz val="14"/>
      <color rgb="FF000000"/>
      <name val="Arial"/>
      <family val="2"/>
    </font>
    <font>
      <b/>
      <sz val="13"/>
      <color theme="3"/>
      <name val="Calibri"/>
      <family val="2"/>
      <scheme val="minor"/>
    </font>
    <font>
      <sz val="10"/>
      <name val="Arial"/>
      <family val="2"/>
    </font>
    <font>
      <b/>
      <sz val="12"/>
      <name val="Arial"/>
      <family val="2"/>
    </font>
    <font>
      <u/>
      <sz val="10"/>
      <color theme="10"/>
      <name val="Arial"/>
      <family val="2"/>
    </font>
    <font>
      <sz val="10"/>
      <color rgb="FF000000"/>
      <name val="Arial"/>
      <family val="2"/>
    </font>
    <font>
      <b/>
      <sz val="18"/>
      <color theme="3"/>
      <name val="Calibri Light"/>
      <family val="2"/>
      <scheme val="major"/>
    </font>
    <font>
      <b/>
      <sz val="10"/>
      <name val="Arial"/>
      <family val="2"/>
    </font>
    <font>
      <sz val="11"/>
      <color rgb="FFFFFFFF"/>
      <name val="Arial"/>
      <family val="2"/>
    </font>
    <font>
      <b/>
      <sz val="11"/>
      <color rgb="FF44546A"/>
      <name val="Arial"/>
      <family val="2"/>
    </font>
    <font>
      <sz val="10"/>
      <color theme="0"/>
      <name val="Arial"/>
      <family val="2"/>
    </font>
    <font>
      <sz val="10"/>
      <color theme="1"/>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u/>
      <sz val="10"/>
      <color rgb="FF800080"/>
      <name val="Arial"/>
      <family val="2"/>
    </font>
    <font>
      <u/>
      <sz val="10"/>
      <color rgb="FF004477"/>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0"/>
      <color rgb="FF0000FF"/>
      <name val="Arial"/>
      <family val="2"/>
    </font>
    <font>
      <u/>
      <sz val="10"/>
      <color rgb="FF0066AA"/>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theme="1"/>
      <name val="Arial"/>
      <family val="2"/>
    </font>
    <font>
      <sz val="10"/>
      <color rgb="FFFF0000"/>
      <name val="Arial"/>
      <family val="2"/>
    </font>
    <font>
      <b/>
      <sz val="12"/>
      <color rgb="FF000000"/>
      <name val="Arial"/>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9"/>
      <name val="Calibri"/>
      <family val="2"/>
    </font>
    <font>
      <sz val="10"/>
      <name val="MS Sans Serif"/>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10"/>
      <name val="Calibri"/>
      <family val="2"/>
    </font>
    <font>
      <sz val="11"/>
      <color indexed="19"/>
      <name val="Calibri"/>
      <family val="2"/>
    </font>
    <font>
      <b/>
      <sz val="11"/>
      <color indexed="63"/>
      <name val="Calibri"/>
      <family val="2"/>
    </font>
    <font>
      <b/>
      <sz val="18"/>
      <color indexed="62"/>
      <name val="Cambria"/>
      <family val="2"/>
    </font>
    <font>
      <b/>
      <sz val="11"/>
      <color indexed="8"/>
      <name val="Calibri"/>
      <family val="2"/>
    </font>
    <font>
      <u/>
      <sz val="11"/>
      <color indexed="12"/>
      <name val="Arial"/>
      <family val="2"/>
    </font>
    <font>
      <sz val="11"/>
      <color rgb="FFFF0000"/>
      <name val="Arial"/>
      <family val="2"/>
    </font>
    <font>
      <u/>
      <sz val="11"/>
      <color theme="1"/>
      <name val="Arial"/>
      <family val="2"/>
    </font>
    <font>
      <sz val="12"/>
      <color rgb="FFFFFFFF"/>
      <name val="Arial"/>
      <family val="2"/>
    </font>
    <font>
      <sz val="11"/>
      <color rgb="FF000000"/>
      <name val="Calibri"/>
      <family val="2"/>
    </font>
    <font>
      <sz val="11"/>
      <color theme="1"/>
      <name val="Calibri"/>
      <family val="2"/>
    </font>
  </fonts>
  <fills count="79">
    <fill>
      <patternFill patternType="none"/>
    </fill>
    <fill>
      <patternFill patternType="gray125"/>
    </fill>
    <fill>
      <patternFill patternType="solid">
        <fgColor theme="0"/>
        <bgColor indexed="64"/>
      </patternFill>
    </fill>
    <fill>
      <patternFill patternType="solid">
        <fgColor theme="7" tint="0.79998168889431442"/>
        <bgColor indexed="65"/>
      </patternFill>
    </fill>
    <fill>
      <patternFill patternType="solid">
        <fgColor theme="8"/>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F0000"/>
        <bgColor indexed="64"/>
      </patternFill>
    </fill>
    <fill>
      <patternFill patternType="solid">
        <fgColor theme="5" tint="0.79998168889431442"/>
        <bgColor indexed="64"/>
      </patternFill>
    </fill>
    <fill>
      <patternFill patternType="solid">
        <fgColor rgb="FFFFFFFF"/>
        <bgColor indexed="64"/>
      </patternFill>
    </fill>
    <fill>
      <patternFill patternType="solid">
        <fgColor theme="1"/>
        <bgColor indexed="64"/>
      </patternFill>
    </fill>
    <fill>
      <patternFill patternType="solid">
        <fgColor theme="6" tint="-0.499984740745262"/>
        <bgColor indexed="64"/>
      </patternFill>
    </fill>
    <fill>
      <patternFill patternType="solid">
        <fgColor theme="7"/>
        <bgColor indexed="64"/>
      </patternFill>
    </fill>
    <fill>
      <patternFill patternType="solid">
        <fgColor rgb="FF00B050"/>
        <bgColor indexed="64"/>
      </patternFill>
    </fill>
    <fill>
      <patternFill patternType="solid">
        <fgColor rgb="FFDAEEF3"/>
        <bgColor rgb="FF000000"/>
      </patternFill>
    </fill>
    <fill>
      <patternFill patternType="solid">
        <fgColor rgb="FFFFFFFF"/>
        <bgColor rgb="FF000000"/>
      </patternFill>
    </fill>
    <fill>
      <patternFill patternType="solid">
        <fgColor indexed="9"/>
        <bgColor indexed="64"/>
      </patternFill>
    </fill>
    <fill>
      <patternFill patternType="lightGray">
        <fgColor indexed="9"/>
        <bgColor indexed="15"/>
      </patternFill>
    </fill>
    <fill>
      <patternFill patternType="solid">
        <fgColor indexed="49"/>
        <bgColor indexed="64"/>
      </patternFill>
    </fill>
    <fill>
      <patternFill patternType="lightGray">
        <fgColor indexed="9"/>
        <bgColor theme="0"/>
      </patternFill>
    </fill>
    <fill>
      <patternFill patternType="solid">
        <fgColor rgb="FF5B9BD5"/>
        <bgColor rgb="FF000000"/>
      </patternFill>
    </fill>
    <fill>
      <patternFill patternType="solid">
        <fgColor rgb="FFDDEBF7"/>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59999389629810485"/>
        <bgColor indexed="64"/>
      </patternFill>
    </fill>
    <fill>
      <patternFill patternType="solid">
        <fgColor theme="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92D050"/>
        <bgColor indexed="64"/>
      </patternFill>
    </fill>
    <fill>
      <patternFill patternType="solid">
        <fgColor theme="7" tint="0.39997558519241921"/>
        <bgColor indexed="64"/>
      </patternFill>
    </fill>
    <fill>
      <patternFill patternType="solid">
        <fgColor rgb="FFFFC000"/>
        <bgColor indexed="64"/>
      </patternFill>
    </fill>
    <fill>
      <patternFill patternType="solid">
        <fgColor rgb="FFFFFF00"/>
        <bgColor indexed="64"/>
      </patternFill>
    </fill>
    <fill>
      <patternFill patternType="solid">
        <fgColor theme="8"/>
        <bgColor theme="4" tint="0.79998168889431442"/>
      </patternFill>
    </fill>
    <fill>
      <patternFill patternType="solid">
        <fgColor theme="0" tint="-0.14999847407452621"/>
        <bgColor indexed="64"/>
      </patternFill>
    </fill>
    <fill>
      <patternFill patternType="solid">
        <fgColor theme="0"/>
        <bgColor theme="4" tint="0.79998168889431442"/>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s>
  <borders count="52">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right/>
      <top style="medium">
        <color indexed="64"/>
      </top>
      <bottom/>
      <diagonal/>
    </border>
    <border>
      <left/>
      <right/>
      <top style="medium">
        <color indexed="64"/>
      </top>
      <bottom style="medium">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s>
  <cellStyleXfs count="214">
    <xf numFmtId="0" fontId="0" fillId="0" borderId="0"/>
    <xf numFmtId="0" fontId="8" fillId="0" borderId="0" applyNumberFormat="0" applyFill="0" applyBorder="0" applyAlignment="0" applyProtection="0"/>
    <xf numFmtId="9" fontId="2" fillId="0" borderId="0" applyFont="0" applyFill="0" applyBorder="0" applyAlignment="0" applyProtection="0"/>
    <xf numFmtId="0" fontId="16" fillId="0" borderId="0"/>
    <xf numFmtId="0" fontId="17" fillId="0" borderId="0" applyNumberFormat="0" applyFill="0" applyBorder="0" applyAlignment="0" applyProtection="0">
      <alignment vertical="top"/>
      <protection locked="0"/>
    </xf>
    <xf numFmtId="43" fontId="16" fillId="0" borderId="0" applyFont="0" applyFill="0" applyBorder="0" applyAlignment="0" applyProtection="0"/>
    <xf numFmtId="43" fontId="2" fillId="0" borderId="0" applyFont="0" applyFill="0" applyBorder="0" applyAlignment="0" applyProtection="0"/>
    <xf numFmtId="0" fontId="16" fillId="0" borderId="0"/>
    <xf numFmtId="0" fontId="16" fillId="0" borderId="0"/>
    <xf numFmtId="0" fontId="30" fillId="0" borderId="0"/>
    <xf numFmtId="43" fontId="30" fillId="0" borderId="0" applyFont="0" applyFill="0" applyBorder="0" applyAlignment="0" applyProtection="0"/>
    <xf numFmtId="9" fontId="30" fillId="0" borderId="0" applyFont="0" applyFill="0" applyBorder="0" applyAlignment="0" applyProtection="0"/>
    <xf numFmtId="0" fontId="16" fillId="0" borderId="0"/>
    <xf numFmtId="0" fontId="31" fillId="0" borderId="0"/>
    <xf numFmtId="44" fontId="2" fillId="0" borderId="0" applyFont="0" applyFill="0" applyBorder="0" applyAlignment="0" applyProtection="0"/>
    <xf numFmtId="0" fontId="35" fillId="0" borderId="0"/>
    <xf numFmtId="0" fontId="36" fillId="0" borderId="0"/>
    <xf numFmtId="0" fontId="36" fillId="0" borderId="0"/>
    <xf numFmtId="0" fontId="36" fillId="0" borderId="0"/>
    <xf numFmtId="0" fontId="2" fillId="0" borderId="0"/>
    <xf numFmtId="0" fontId="16" fillId="0" borderId="0"/>
    <xf numFmtId="0" fontId="42" fillId="0" borderId="0" applyNumberFormat="0" applyFill="0" applyBorder="0" applyAlignment="0" applyProtection="0"/>
    <xf numFmtId="0" fontId="16" fillId="0" borderId="0" applyNumberFormat="0" applyFill="0" applyBorder="0" applyAlignment="0" applyProtection="0"/>
    <xf numFmtId="3" fontId="16" fillId="0" borderId="0" applyFont="0" applyFill="0" applyBorder="0" applyAlignment="0" applyProtection="0"/>
    <xf numFmtId="0" fontId="43" fillId="0" borderId="30" applyNumberFormat="0" applyFill="0" applyBorder="0" applyAlignment="0" applyProtection="0"/>
    <xf numFmtId="0" fontId="41" fillId="0" borderId="31"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16" fillId="0" borderId="0"/>
    <xf numFmtId="0" fontId="2" fillId="0" borderId="0"/>
    <xf numFmtId="0" fontId="45" fillId="0" borderId="0" applyNumberFormat="0" applyFill="0" applyBorder="0" applyAlignment="0" applyProtection="0"/>
    <xf numFmtId="0" fontId="16" fillId="0" borderId="0"/>
    <xf numFmtId="0" fontId="46" fillId="0" borderId="0" applyNumberFormat="0" applyFill="0" applyBorder="0" applyAlignment="0" applyProtection="0"/>
    <xf numFmtId="0" fontId="47" fillId="0" borderId="0"/>
    <xf numFmtId="0" fontId="51" fillId="30" borderId="0" applyNumberFormat="0" applyBorder="0" applyAlignment="0" applyProtection="0"/>
    <xf numFmtId="0" fontId="51" fillId="34" borderId="0" applyNumberFormat="0" applyBorder="0" applyAlignment="0" applyProtection="0"/>
    <xf numFmtId="0" fontId="51" fillId="38" borderId="0" applyNumberFormat="0" applyBorder="0" applyAlignment="0" applyProtection="0"/>
    <xf numFmtId="0" fontId="51" fillId="3" borderId="0" applyNumberFormat="0" applyBorder="0" applyAlignment="0" applyProtection="0"/>
    <xf numFmtId="0" fontId="51" fillId="45" borderId="0" applyNumberFormat="0" applyBorder="0" applyAlignment="0" applyProtection="0"/>
    <xf numFmtId="0" fontId="51" fillId="49" borderId="0" applyNumberFormat="0" applyBorder="0" applyAlignment="0" applyProtection="0"/>
    <xf numFmtId="0" fontId="51" fillId="31" borderId="0" applyNumberFormat="0" applyBorder="0" applyAlignment="0" applyProtection="0"/>
    <xf numFmtId="0" fontId="51" fillId="35" borderId="0" applyNumberFormat="0" applyBorder="0" applyAlignment="0" applyProtection="0"/>
    <xf numFmtId="0" fontId="51" fillId="39" borderId="0" applyNumberFormat="0" applyBorder="0" applyAlignment="0" applyProtection="0"/>
    <xf numFmtId="0" fontId="51" fillId="42" borderId="0" applyNumberFormat="0" applyBorder="0" applyAlignment="0" applyProtection="0"/>
    <xf numFmtId="0" fontId="51" fillId="46" borderId="0" applyNumberFormat="0" applyBorder="0" applyAlignment="0" applyProtection="0"/>
    <xf numFmtId="0" fontId="51" fillId="50" borderId="0" applyNumberFormat="0" applyBorder="0" applyAlignment="0" applyProtection="0"/>
    <xf numFmtId="0" fontId="50" fillId="32" borderId="0" applyNumberFormat="0" applyBorder="0" applyAlignment="0" applyProtection="0"/>
    <xf numFmtId="0" fontId="50" fillId="36" borderId="0" applyNumberFormat="0" applyBorder="0" applyAlignment="0" applyProtection="0"/>
    <xf numFmtId="0" fontId="50" fillId="40" borderId="0" applyNumberFormat="0" applyBorder="0" applyAlignment="0" applyProtection="0"/>
    <xf numFmtId="0" fontId="50" fillId="43" borderId="0" applyNumberFormat="0" applyBorder="0" applyAlignment="0" applyProtection="0"/>
    <xf numFmtId="0" fontId="50" fillId="47" borderId="0" applyNumberFormat="0" applyBorder="0" applyAlignment="0" applyProtection="0"/>
    <xf numFmtId="0" fontId="50" fillId="51" borderId="0" applyNumberFormat="0" applyBorder="0" applyAlignment="0" applyProtection="0"/>
    <xf numFmtId="0" fontId="50" fillId="29" borderId="0" applyNumberFormat="0" applyBorder="0" applyAlignment="0" applyProtection="0"/>
    <xf numFmtId="0" fontId="50" fillId="33" borderId="0" applyNumberFormat="0" applyBorder="0" applyAlignment="0" applyProtection="0"/>
    <xf numFmtId="0" fontId="50" fillId="37" borderId="0" applyNumberFormat="0" applyBorder="0" applyAlignment="0" applyProtection="0"/>
    <xf numFmtId="0" fontId="50" fillId="41" borderId="0" applyNumberFormat="0" applyBorder="0" applyAlignment="0" applyProtection="0"/>
    <xf numFmtId="0" fontId="50" fillId="44" borderId="0" applyNumberFormat="0" applyBorder="0" applyAlignment="0" applyProtection="0"/>
    <xf numFmtId="0" fontId="50" fillId="48" borderId="0" applyNumberFormat="0" applyBorder="0" applyAlignment="0" applyProtection="0"/>
    <xf numFmtId="0" fontId="52" fillId="23" borderId="0" applyNumberFormat="0" applyBorder="0" applyAlignment="0" applyProtection="0"/>
    <xf numFmtId="0" fontId="53" fillId="26" borderId="33" applyNumberFormat="0" applyAlignment="0" applyProtection="0"/>
    <xf numFmtId="0" fontId="54" fillId="27" borderId="36" applyNumberFormat="0" applyAlignment="0" applyProtection="0"/>
    <xf numFmtId="43" fontId="51" fillId="0" borderId="0" applyFon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8" fillId="22" borderId="0" applyNumberFormat="0" applyBorder="0" applyAlignment="0" applyProtection="0"/>
    <xf numFmtId="0" fontId="59" fillId="0" borderId="30" applyNumberFormat="0" applyFill="0" applyAlignment="0" applyProtection="0"/>
    <xf numFmtId="0" fontId="60" fillId="0" borderId="31" applyNumberFormat="0" applyFill="0" applyAlignment="0" applyProtection="0"/>
    <xf numFmtId="0" fontId="61" fillId="0" borderId="32" applyNumberFormat="0" applyFill="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2" fillId="0" borderId="0" applyNumberFormat="0" applyFill="0" applyBorder="0" applyAlignment="0" applyProtection="0"/>
    <xf numFmtId="0" fontId="64" fillId="25" borderId="33" applyNumberFormat="0" applyAlignment="0" applyProtection="0"/>
    <xf numFmtId="0" fontId="65" fillId="0" borderId="35" applyNumberFormat="0" applyFill="0" applyAlignment="0" applyProtection="0"/>
    <xf numFmtId="0" fontId="66" fillId="24" borderId="0" applyNumberFormat="0" applyBorder="0" applyAlignment="0" applyProtection="0"/>
    <xf numFmtId="0" fontId="51" fillId="0" borderId="0"/>
    <xf numFmtId="0" fontId="51" fillId="28" borderId="37" applyNumberFormat="0" applyFont="0" applyAlignment="0" applyProtection="0"/>
    <xf numFmtId="0" fontId="51" fillId="28" borderId="37" applyNumberFormat="0" applyFont="0" applyAlignment="0" applyProtection="0"/>
    <xf numFmtId="0" fontId="67" fillId="26" borderId="34" applyNumberFormat="0" applyAlignment="0" applyProtection="0"/>
    <xf numFmtId="0" fontId="68" fillId="0" borderId="38" applyNumberFormat="0" applyFill="0" applyAlignment="0" applyProtection="0"/>
    <xf numFmtId="0" fontId="69" fillId="0" borderId="0" applyNumberFormat="0" applyFill="0" applyBorder="0" applyAlignment="0" applyProtection="0"/>
    <xf numFmtId="0" fontId="51" fillId="0" borderId="0"/>
    <xf numFmtId="0" fontId="51" fillId="28" borderId="37" applyNumberFormat="0" applyFont="0" applyAlignment="0" applyProtection="0"/>
    <xf numFmtId="0" fontId="51" fillId="30" borderId="0" applyNumberFormat="0" applyBorder="0" applyAlignment="0" applyProtection="0"/>
    <xf numFmtId="0" fontId="51" fillId="31" borderId="0" applyNumberFormat="0" applyBorder="0" applyAlignment="0" applyProtection="0"/>
    <xf numFmtId="0" fontId="51" fillId="34" borderId="0" applyNumberFormat="0" applyBorder="0" applyAlignment="0" applyProtection="0"/>
    <xf numFmtId="0" fontId="51" fillId="35" borderId="0" applyNumberFormat="0" applyBorder="0" applyAlignment="0" applyProtection="0"/>
    <xf numFmtId="0" fontId="51" fillId="38" borderId="0" applyNumberFormat="0" applyBorder="0" applyAlignment="0" applyProtection="0"/>
    <xf numFmtId="0" fontId="51" fillId="39" borderId="0" applyNumberFormat="0" applyBorder="0" applyAlignment="0" applyProtection="0"/>
    <xf numFmtId="0" fontId="51" fillId="3" borderId="0" applyNumberFormat="0" applyBorder="0" applyAlignment="0" applyProtection="0"/>
    <xf numFmtId="0" fontId="51" fillId="42" borderId="0" applyNumberFormat="0" applyBorder="0" applyAlignment="0" applyProtection="0"/>
    <xf numFmtId="0" fontId="51" fillId="45" borderId="0" applyNumberFormat="0" applyBorder="0" applyAlignment="0" applyProtection="0"/>
    <xf numFmtId="0" fontId="51" fillId="46" borderId="0" applyNumberFormat="0" applyBorder="0" applyAlignment="0" applyProtection="0"/>
    <xf numFmtId="0" fontId="51" fillId="49" borderId="0" applyNumberFormat="0" applyBorder="0" applyAlignment="0" applyProtection="0"/>
    <xf numFmtId="0" fontId="51" fillId="50" borderId="0" applyNumberFormat="0" applyBorder="0" applyAlignment="0" applyProtection="0"/>
    <xf numFmtId="0" fontId="51" fillId="0" borderId="0"/>
    <xf numFmtId="0" fontId="51" fillId="28" borderId="37" applyNumberFormat="0" applyFont="0" applyAlignment="0" applyProtection="0"/>
    <xf numFmtId="0" fontId="51" fillId="30" borderId="0" applyNumberFormat="0" applyBorder="0" applyAlignment="0" applyProtection="0"/>
    <xf numFmtId="0" fontId="51" fillId="31" borderId="0" applyNumberFormat="0" applyBorder="0" applyAlignment="0" applyProtection="0"/>
    <xf numFmtId="0" fontId="51" fillId="34" borderId="0" applyNumberFormat="0" applyBorder="0" applyAlignment="0" applyProtection="0"/>
    <xf numFmtId="0" fontId="51" fillId="35" borderId="0" applyNumberFormat="0" applyBorder="0" applyAlignment="0" applyProtection="0"/>
    <xf numFmtId="0" fontId="51" fillId="38" borderId="0" applyNumberFormat="0" applyBorder="0" applyAlignment="0" applyProtection="0"/>
    <xf numFmtId="0" fontId="51" fillId="39" borderId="0" applyNumberFormat="0" applyBorder="0" applyAlignment="0" applyProtection="0"/>
    <xf numFmtId="0" fontId="51" fillId="3" borderId="0" applyNumberFormat="0" applyBorder="0" applyAlignment="0" applyProtection="0"/>
    <xf numFmtId="0" fontId="51" fillId="42" borderId="0" applyNumberFormat="0" applyBorder="0" applyAlignment="0" applyProtection="0"/>
    <xf numFmtId="0" fontId="51" fillId="45" borderId="0" applyNumberFormat="0" applyBorder="0" applyAlignment="0" applyProtection="0"/>
    <xf numFmtId="0" fontId="51" fillId="46" borderId="0" applyNumberFormat="0" applyBorder="0" applyAlignment="0" applyProtection="0"/>
    <xf numFmtId="0" fontId="51" fillId="49" borderId="0" applyNumberFormat="0" applyBorder="0" applyAlignment="0" applyProtection="0"/>
    <xf numFmtId="0" fontId="51" fillId="50" borderId="0" applyNumberFormat="0" applyBorder="0" applyAlignment="0" applyProtection="0"/>
    <xf numFmtId="0" fontId="51" fillId="30" borderId="0" applyNumberFormat="0" applyBorder="0" applyAlignment="0" applyProtection="0"/>
    <xf numFmtId="0" fontId="51" fillId="34" borderId="0" applyNumberFormat="0" applyBorder="0" applyAlignment="0" applyProtection="0"/>
    <xf numFmtId="0" fontId="51" fillId="38" borderId="0" applyNumberFormat="0" applyBorder="0" applyAlignment="0" applyProtection="0"/>
    <xf numFmtId="0" fontId="51" fillId="3" borderId="0" applyNumberFormat="0" applyBorder="0" applyAlignment="0" applyProtection="0"/>
    <xf numFmtId="0" fontId="51" fillId="45" borderId="0" applyNumberFormat="0" applyBorder="0" applyAlignment="0" applyProtection="0"/>
    <xf numFmtId="0" fontId="51" fillId="49" borderId="0" applyNumberFormat="0" applyBorder="0" applyAlignment="0" applyProtection="0"/>
    <xf numFmtId="0" fontId="51" fillId="31" borderId="0" applyNumberFormat="0" applyBorder="0" applyAlignment="0" applyProtection="0"/>
    <xf numFmtId="0" fontId="51" fillId="35" borderId="0" applyNumberFormat="0" applyBorder="0" applyAlignment="0" applyProtection="0"/>
    <xf numFmtId="0" fontId="51" fillId="39" borderId="0" applyNumberFormat="0" applyBorder="0" applyAlignment="0" applyProtection="0"/>
    <xf numFmtId="0" fontId="51" fillId="42" borderId="0" applyNumberFormat="0" applyBorder="0" applyAlignment="0" applyProtection="0"/>
    <xf numFmtId="0" fontId="51" fillId="46" borderId="0" applyNumberFormat="0" applyBorder="0" applyAlignment="0" applyProtection="0"/>
    <xf numFmtId="0" fontId="51" fillId="50" borderId="0" applyNumberFormat="0" applyBorder="0" applyAlignment="0" applyProtection="0"/>
    <xf numFmtId="43" fontId="51" fillId="0" borderId="0" applyFont="0" applyFill="0" applyBorder="0" applyAlignment="0" applyProtection="0"/>
    <xf numFmtId="0" fontId="51" fillId="0" borderId="0"/>
    <xf numFmtId="0" fontId="51" fillId="28" borderId="37" applyNumberFormat="0" applyFont="0" applyAlignment="0" applyProtection="0"/>
    <xf numFmtId="0" fontId="51" fillId="28" borderId="37" applyNumberFormat="0" applyFont="0" applyAlignment="0" applyProtection="0"/>
    <xf numFmtId="0" fontId="51" fillId="0" borderId="0"/>
    <xf numFmtId="0" fontId="51" fillId="28" borderId="37" applyNumberFormat="0" applyFont="0" applyAlignment="0" applyProtection="0"/>
    <xf numFmtId="0" fontId="51" fillId="30" borderId="0" applyNumberFormat="0" applyBorder="0" applyAlignment="0" applyProtection="0"/>
    <xf numFmtId="0" fontId="51" fillId="31" borderId="0" applyNumberFormat="0" applyBorder="0" applyAlignment="0" applyProtection="0"/>
    <xf numFmtId="0" fontId="51" fillId="34" borderId="0" applyNumberFormat="0" applyBorder="0" applyAlignment="0" applyProtection="0"/>
    <xf numFmtId="0" fontId="51" fillId="35" borderId="0" applyNumberFormat="0" applyBorder="0" applyAlignment="0" applyProtection="0"/>
    <xf numFmtId="0" fontId="51" fillId="38" borderId="0" applyNumberFormat="0" applyBorder="0" applyAlignment="0" applyProtection="0"/>
    <xf numFmtId="0" fontId="51" fillId="39" borderId="0" applyNumberFormat="0" applyBorder="0" applyAlignment="0" applyProtection="0"/>
    <xf numFmtId="0" fontId="51" fillId="3" borderId="0" applyNumberFormat="0" applyBorder="0" applyAlignment="0" applyProtection="0"/>
    <xf numFmtId="0" fontId="51" fillId="42" borderId="0" applyNumberFormat="0" applyBorder="0" applyAlignment="0" applyProtection="0"/>
    <xf numFmtId="0" fontId="51" fillId="45" borderId="0" applyNumberFormat="0" applyBorder="0" applyAlignment="0" applyProtection="0"/>
    <xf numFmtId="0" fontId="51" fillId="46" borderId="0" applyNumberFormat="0" applyBorder="0" applyAlignment="0" applyProtection="0"/>
    <xf numFmtId="0" fontId="51" fillId="49" borderId="0" applyNumberFormat="0" applyBorder="0" applyAlignment="0" applyProtection="0"/>
    <xf numFmtId="0" fontId="51" fillId="50" borderId="0" applyNumberFormat="0" applyBorder="0" applyAlignment="0" applyProtection="0"/>
    <xf numFmtId="0" fontId="51" fillId="0" borderId="0"/>
    <xf numFmtId="0" fontId="51" fillId="28" borderId="37" applyNumberFormat="0" applyFont="0" applyAlignment="0" applyProtection="0"/>
    <xf numFmtId="0" fontId="51" fillId="30" borderId="0" applyNumberFormat="0" applyBorder="0" applyAlignment="0" applyProtection="0"/>
    <xf numFmtId="0" fontId="51" fillId="31" borderId="0" applyNumberFormat="0" applyBorder="0" applyAlignment="0" applyProtection="0"/>
    <xf numFmtId="0" fontId="51" fillId="34" borderId="0" applyNumberFormat="0" applyBorder="0" applyAlignment="0" applyProtection="0"/>
    <xf numFmtId="0" fontId="51" fillId="35" borderId="0" applyNumberFormat="0" applyBorder="0" applyAlignment="0" applyProtection="0"/>
    <xf numFmtId="0" fontId="51" fillId="38" borderId="0" applyNumberFormat="0" applyBorder="0" applyAlignment="0" applyProtection="0"/>
    <xf numFmtId="0" fontId="51" fillId="39" borderId="0" applyNumberFormat="0" applyBorder="0" applyAlignment="0" applyProtection="0"/>
    <xf numFmtId="0" fontId="51" fillId="3" borderId="0" applyNumberFormat="0" applyBorder="0" applyAlignment="0" applyProtection="0"/>
    <xf numFmtId="0" fontId="51" fillId="42" borderId="0" applyNumberFormat="0" applyBorder="0" applyAlignment="0" applyProtection="0"/>
    <xf numFmtId="0" fontId="51" fillId="45" borderId="0" applyNumberFormat="0" applyBorder="0" applyAlignment="0" applyProtection="0"/>
    <xf numFmtId="0" fontId="51" fillId="46" borderId="0" applyNumberFormat="0" applyBorder="0" applyAlignment="0" applyProtection="0"/>
    <xf numFmtId="0" fontId="51" fillId="49" borderId="0" applyNumberFormat="0" applyBorder="0" applyAlignment="0" applyProtection="0"/>
    <xf numFmtId="0" fontId="51" fillId="50" borderId="0" applyNumberFormat="0" applyBorder="0" applyAlignment="0" applyProtection="0"/>
    <xf numFmtId="9" fontId="16" fillId="0" borderId="0" applyFont="0" applyFill="0" applyBorder="0" applyAlignment="0" applyProtection="0"/>
    <xf numFmtId="3" fontId="16" fillId="0" borderId="0"/>
    <xf numFmtId="0" fontId="71" fillId="63" borderId="0" applyNumberFormat="0" applyBorder="0" applyAlignment="0" applyProtection="0"/>
    <xf numFmtId="0" fontId="71" fillId="64" borderId="0" applyNumberFormat="0" applyBorder="0" applyAlignment="0" applyProtection="0"/>
    <xf numFmtId="0" fontId="71" fillId="65" borderId="0" applyNumberFormat="0" applyBorder="0" applyAlignment="0" applyProtection="0"/>
    <xf numFmtId="0" fontId="71" fillId="66" borderId="0" applyNumberFormat="0" applyBorder="0" applyAlignment="0" applyProtection="0"/>
    <xf numFmtId="0" fontId="71" fillId="67" borderId="0" applyNumberFormat="0" applyBorder="0" applyAlignment="0" applyProtection="0"/>
    <xf numFmtId="0" fontId="71" fillId="65" borderId="0" applyNumberFormat="0" applyBorder="0" applyAlignment="0" applyProtection="0"/>
    <xf numFmtId="0" fontId="71" fillId="67" borderId="0" applyNumberFormat="0" applyBorder="0" applyAlignment="0" applyProtection="0"/>
    <xf numFmtId="0" fontId="71" fillId="64" borderId="0" applyNumberFormat="0" applyBorder="0" applyAlignment="0" applyProtection="0"/>
    <xf numFmtId="0" fontId="71" fillId="68" borderId="0" applyNumberFormat="0" applyBorder="0" applyAlignment="0" applyProtection="0"/>
    <xf numFmtId="0" fontId="71" fillId="69" borderId="0" applyNumberFormat="0" applyBorder="0" applyAlignment="0" applyProtection="0"/>
    <xf numFmtId="0" fontId="71" fillId="67" borderId="0" applyNumberFormat="0" applyBorder="0" applyAlignment="0" applyProtection="0"/>
    <xf numFmtId="0" fontId="71" fillId="65" borderId="0" applyNumberFormat="0" applyBorder="0" applyAlignment="0" applyProtection="0"/>
    <xf numFmtId="0" fontId="72" fillId="67" borderId="0" applyNumberFormat="0" applyBorder="0" applyAlignment="0" applyProtection="0"/>
    <xf numFmtId="0" fontId="72" fillId="70" borderId="0" applyNumberFormat="0" applyBorder="0" applyAlignment="0" applyProtection="0"/>
    <xf numFmtId="0" fontId="72" fillId="71" borderId="0" applyNumberFormat="0" applyBorder="0" applyAlignment="0" applyProtection="0"/>
    <xf numFmtId="0" fontId="72" fillId="69" borderId="0" applyNumberFormat="0" applyBorder="0" applyAlignment="0" applyProtection="0"/>
    <xf numFmtId="0" fontId="72" fillId="67" borderId="0" applyNumberFormat="0" applyBorder="0" applyAlignment="0" applyProtection="0"/>
    <xf numFmtId="0" fontId="72" fillId="64" borderId="0" applyNumberFormat="0" applyBorder="0" applyAlignment="0" applyProtection="0"/>
    <xf numFmtId="0" fontId="72" fillId="72" borderId="0" applyNumberFormat="0" applyBorder="0" applyAlignment="0" applyProtection="0"/>
    <xf numFmtId="0" fontId="72" fillId="70" borderId="0" applyNumberFormat="0" applyBorder="0" applyAlignment="0" applyProtection="0"/>
    <xf numFmtId="0" fontId="72" fillId="71" borderId="0" applyNumberFormat="0" applyBorder="0" applyAlignment="0" applyProtection="0"/>
    <xf numFmtId="0" fontId="72" fillId="73" borderId="0" applyNumberFormat="0" applyBorder="0" applyAlignment="0" applyProtection="0"/>
    <xf numFmtId="0" fontId="72" fillId="74" borderId="0" applyNumberFormat="0" applyBorder="0" applyAlignment="0" applyProtection="0"/>
    <xf numFmtId="0" fontId="72" fillId="75" borderId="0" applyNumberFormat="0" applyBorder="0" applyAlignment="0" applyProtection="0"/>
    <xf numFmtId="0" fontId="73" fillId="76" borderId="0" applyNumberFormat="0" applyBorder="0" applyAlignment="0" applyProtection="0"/>
    <xf numFmtId="0" fontId="74" fillId="77" borderId="41" applyNumberFormat="0" applyAlignment="0" applyProtection="0"/>
    <xf numFmtId="0" fontId="75" fillId="78" borderId="42" applyNumberFormat="0" applyAlignment="0" applyProtection="0"/>
    <xf numFmtId="40" fontId="76" fillId="0" borderId="0" applyFont="0" applyFill="0" applyBorder="0" applyAlignment="0" applyProtection="0"/>
    <xf numFmtId="0" fontId="77" fillId="0" borderId="0" applyNumberFormat="0" applyFill="0" applyBorder="0" applyAlignment="0" applyProtection="0"/>
    <xf numFmtId="0" fontId="78" fillId="67" borderId="0" applyNumberFormat="0" applyBorder="0" applyAlignment="0" applyProtection="0"/>
    <xf numFmtId="0" fontId="79" fillId="0" borderId="43" applyNumberFormat="0" applyFill="0" applyAlignment="0" applyProtection="0"/>
    <xf numFmtId="0" fontId="80" fillId="0" borderId="44" applyNumberFormat="0" applyFill="0" applyAlignment="0" applyProtection="0"/>
    <xf numFmtId="0" fontId="81" fillId="0" borderId="45" applyNumberFormat="0" applyFill="0" applyAlignment="0" applyProtection="0"/>
    <xf numFmtId="0" fontId="81" fillId="0" borderId="0" applyNumberFormat="0" applyFill="0" applyBorder="0" applyAlignment="0" applyProtection="0"/>
    <xf numFmtId="0" fontId="82" fillId="68" borderId="41" applyNumberFormat="0" applyAlignment="0" applyProtection="0"/>
    <xf numFmtId="0" fontId="83" fillId="0" borderId="46" applyNumberFormat="0" applyFill="0" applyAlignment="0" applyProtection="0"/>
    <xf numFmtId="0" fontId="84" fillId="68" borderId="0" applyNumberFormat="0" applyBorder="0" applyAlignment="0" applyProtection="0"/>
    <xf numFmtId="0" fontId="31" fillId="65" borderId="47" applyNumberFormat="0" applyFont="0" applyAlignment="0" applyProtection="0"/>
    <xf numFmtId="0" fontId="85" fillId="77" borderId="48" applyNumberFormat="0" applyAlignment="0" applyProtection="0"/>
    <xf numFmtId="0" fontId="86" fillId="0" borderId="0" applyNumberFormat="0" applyFill="0" applyBorder="0" applyAlignment="0" applyProtection="0"/>
    <xf numFmtId="0" fontId="87" fillId="0" borderId="49" applyNumberFormat="0" applyFill="0" applyAlignment="0" applyProtection="0"/>
    <xf numFmtId="0" fontId="83" fillId="0" borderId="0" applyNumberFormat="0" applyFill="0" applyBorder="0" applyAlignment="0" applyProtection="0"/>
    <xf numFmtId="0" fontId="31" fillId="0" borderId="0"/>
    <xf numFmtId="0" fontId="31"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applyFill="0"/>
    <xf numFmtId="0" fontId="16" fillId="0" borderId="0"/>
    <xf numFmtId="0" fontId="31" fillId="0" borderId="0"/>
    <xf numFmtId="0" fontId="2" fillId="0" borderId="0"/>
  </cellStyleXfs>
  <cellXfs count="646">
    <xf numFmtId="0" fontId="0" fillId="0" borderId="0" xfId="0"/>
    <xf numFmtId="0" fontId="3" fillId="0" borderId="0" xfId="0" applyFont="1"/>
    <xf numFmtId="0" fontId="1" fillId="0" borderId="0" xfId="0" applyFont="1"/>
    <xf numFmtId="0" fontId="5" fillId="0" borderId="0" xfId="0" applyFont="1"/>
    <xf numFmtId="0" fontId="1" fillId="2" borderId="0" xfId="0" applyFont="1" applyFill="1"/>
    <xf numFmtId="0" fontId="1" fillId="0" borderId="0" xfId="0" applyFont="1" applyAlignment="1">
      <alignment vertical="top"/>
    </xf>
    <xf numFmtId="0" fontId="3" fillId="0" borderId="0" xfId="0" applyFont="1" applyAlignment="1">
      <alignment horizontal="center"/>
    </xf>
    <xf numFmtId="0" fontId="5" fillId="0" borderId="0" xfId="0" applyFont="1" applyAlignment="1">
      <alignment vertical="center"/>
    </xf>
    <xf numFmtId="0" fontId="9" fillId="0" borderId="14" xfId="0" applyFont="1" applyBorder="1" applyAlignment="1">
      <alignment horizontal="left" vertical="center" wrapText="1"/>
    </xf>
    <xf numFmtId="10" fontId="9" fillId="0" borderId="14" xfId="0" applyNumberFormat="1" applyFont="1" applyBorder="1" applyAlignment="1">
      <alignment horizontal="left" vertical="center"/>
    </xf>
    <xf numFmtId="0" fontId="11" fillId="0" borderId="14" xfId="0" applyFont="1" applyBorder="1" applyAlignment="1">
      <alignment horizontal="left" vertical="center"/>
    </xf>
    <xf numFmtId="3" fontId="10" fillId="0" borderId="14" xfId="0" applyNumberFormat="1" applyFont="1" applyBorder="1" applyAlignment="1">
      <alignment horizontal="left" vertical="center"/>
    </xf>
    <xf numFmtId="0" fontId="10" fillId="0" borderId="0" xfId="0" applyFont="1"/>
    <xf numFmtId="0" fontId="12" fillId="4" borderId="14" xfId="0" applyFont="1" applyFill="1" applyBorder="1" applyAlignment="1">
      <alignment horizontal="left" vertical="center"/>
    </xf>
    <xf numFmtId="0" fontId="12" fillId="4" borderId="15" xfId="0" applyFont="1" applyFill="1" applyBorder="1" applyAlignment="1">
      <alignment horizontal="left" vertical="center"/>
    </xf>
    <xf numFmtId="0" fontId="11" fillId="0" borderId="0" xfId="0" applyFont="1" applyAlignment="1">
      <alignment horizontal="left" vertical="center"/>
    </xf>
    <xf numFmtId="0" fontId="13" fillId="0" borderId="0" xfId="0" applyFont="1"/>
    <xf numFmtId="0" fontId="13" fillId="0" borderId="3" xfId="0" applyFont="1" applyBorder="1"/>
    <xf numFmtId="0" fontId="12" fillId="4" borderId="16" xfId="0" applyFont="1" applyFill="1" applyBorder="1" applyAlignment="1">
      <alignment horizontal="left" vertical="center"/>
    </xf>
    <xf numFmtId="0" fontId="12" fillId="4" borderId="17" xfId="0" applyFont="1" applyFill="1" applyBorder="1" applyAlignment="1">
      <alignment horizontal="left" vertical="center"/>
    </xf>
    <xf numFmtId="0" fontId="11" fillId="0" borderId="16" xfId="0" applyFont="1" applyBorder="1" applyAlignment="1">
      <alignment horizontal="left" vertical="center"/>
    </xf>
    <xf numFmtId="0" fontId="13" fillId="0" borderId="10" xfId="0" applyFont="1" applyBorder="1"/>
    <xf numFmtId="0" fontId="11" fillId="5" borderId="16" xfId="0" applyFont="1" applyFill="1" applyBorder="1" applyAlignment="1">
      <alignment horizontal="left" vertical="center"/>
    </xf>
    <xf numFmtId="0" fontId="11" fillId="0" borderId="10" xfId="0" applyFont="1" applyBorder="1" applyAlignment="1">
      <alignment horizontal="left" vertical="center"/>
    </xf>
    <xf numFmtId="0" fontId="11" fillId="0" borderId="12" xfId="0" applyFont="1" applyBorder="1" applyAlignment="1">
      <alignment horizontal="left" vertical="center"/>
    </xf>
    <xf numFmtId="0" fontId="15" fillId="0" borderId="0" xfId="0" applyFont="1"/>
    <xf numFmtId="3" fontId="11" fillId="5" borderId="14" xfId="0" applyNumberFormat="1" applyFont="1" applyFill="1" applyBorder="1" applyAlignment="1">
      <alignment horizontal="left" vertical="center"/>
    </xf>
    <xf numFmtId="3" fontId="11" fillId="0" borderId="14" xfId="0" applyNumberFormat="1" applyFont="1" applyBorder="1" applyAlignment="1">
      <alignment horizontal="left" vertical="center"/>
    </xf>
    <xf numFmtId="3" fontId="11" fillId="5" borderId="18" xfId="0" applyNumberFormat="1" applyFont="1" applyFill="1" applyBorder="1" applyAlignment="1">
      <alignment horizontal="left" vertical="center"/>
    </xf>
    <xf numFmtId="3" fontId="11" fillId="0" borderId="18" xfId="0" applyNumberFormat="1" applyFont="1" applyBorder="1" applyAlignment="1">
      <alignment horizontal="left" vertical="center"/>
    </xf>
    <xf numFmtId="3" fontId="10" fillId="0" borderId="18" xfId="0" applyNumberFormat="1" applyFont="1" applyBorder="1" applyAlignment="1">
      <alignment horizontal="left" vertical="center"/>
    </xf>
    <xf numFmtId="9" fontId="11" fillId="5" borderId="14" xfId="2" applyFont="1" applyFill="1" applyBorder="1" applyAlignment="1">
      <alignment horizontal="left" vertical="center"/>
    </xf>
    <xf numFmtId="9" fontId="11" fillId="0" borderId="14" xfId="2" applyFont="1" applyBorder="1" applyAlignment="1">
      <alignment horizontal="left" vertical="center"/>
    </xf>
    <xf numFmtId="9" fontId="11" fillId="0" borderId="18" xfId="2" applyFont="1" applyBorder="1" applyAlignment="1">
      <alignment horizontal="left" vertical="center"/>
    </xf>
    <xf numFmtId="9" fontId="11" fillId="5" borderId="18" xfId="2" applyFont="1" applyFill="1" applyBorder="1" applyAlignment="1">
      <alignment horizontal="left" vertical="center"/>
    </xf>
    <xf numFmtId="9" fontId="10" fillId="0" borderId="14" xfId="2" applyFont="1" applyBorder="1" applyAlignment="1">
      <alignment horizontal="left" vertical="center"/>
    </xf>
    <xf numFmtId="9" fontId="10" fillId="0" borderId="18" xfId="2" applyFont="1" applyBorder="1" applyAlignment="1">
      <alignment horizontal="left" vertical="center"/>
    </xf>
    <xf numFmtId="9" fontId="11" fillId="0" borderId="14" xfId="0" applyNumberFormat="1" applyFont="1" applyBorder="1" applyAlignment="1">
      <alignment horizontal="left" vertical="center"/>
    </xf>
    <xf numFmtId="0" fontId="12" fillId="4" borderId="24" xfId="0" applyFont="1" applyFill="1" applyBorder="1" applyAlignment="1">
      <alignment horizontal="left" vertical="center"/>
    </xf>
    <xf numFmtId="0" fontId="7" fillId="4" borderId="14" xfId="0" applyFont="1" applyFill="1" applyBorder="1" applyAlignment="1">
      <alignment horizontal="center" vertical="center" wrapText="1"/>
    </xf>
    <xf numFmtId="0" fontId="10" fillId="0" borderId="14" xfId="0" applyFont="1" applyBorder="1"/>
    <xf numFmtId="0" fontId="21" fillId="4" borderId="14" xfId="0" applyFont="1" applyFill="1" applyBorder="1" applyAlignment="1">
      <alignment horizontal="center" vertical="center" wrapText="1"/>
    </xf>
    <xf numFmtId="0" fontId="3" fillId="0" borderId="14" xfId="0" applyFont="1" applyBorder="1" applyAlignment="1">
      <alignment vertical="center" wrapText="1"/>
    </xf>
    <xf numFmtId="0" fontId="12" fillId="4" borderId="24" xfId="0" applyFont="1" applyFill="1" applyBorder="1" applyAlignment="1">
      <alignment horizontal="center" vertical="center"/>
    </xf>
    <xf numFmtId="0" fontId="9" fillId="5" borderId="25" xfId="0" applyFont="1" applyFill="1" applyBorder="1" applyAlignment="1">
      <alignment vertical="center" wrapText="1"/>
    </xf>
    <xf numFmtId="3" fontId="9" fillId="5" borderId="26" xfId="0" applyNumberFormat="1" applyFont="1" applyFill="1" applyBorder="1" applyAlignment="1">
      <alignment horizontal="center" vertical="center" wrapText="1"/>
    </xf>
    <xf numFmtId="10" fontId="9" fillId="5" borderId="26" xfId="0" applyNumberFormat="1" applyFont="1" applyFill="1" applyBorder="1" applyAlignment="1">
      <alignment horizontal="center" vertical="center" wrapText="1"/>
    </xf>
    <xf numFmtId="10" fontId="9" fillId="5" borderId="27" xfId="0" applyNumberFormat="1" applyFont="1" applyFill="1" applyBorder="1" applyAlignment="1">
      <alignment horizontal="center" vertical="center" wrapText="1"/>
    </xf>
    <xf numFmtId="0" fontId="9" fillId="5" borderId="16" xfId="0" applyFont="1" applyFill="1" applyBorder="1" applyAlignment="1">
      <alignment vertical="center" wrapText="1"/>
    </xf>
    <xf numFmtId="3" fontId="9" fillId="5" borderId="14" xfId="0" applyNumberFormat="1" applyFont="1" applyFill="1" applyBorder="1" applyAlignment="1">
      <alignment horizontal="center" vertical="center" wrapText="1"/>
    </xf>
    <xf numFmtId="10" fontId="9" fillId="5" borderId="14" xfId="0" applyNumberFormat="1" applyFont="1" applyFill="1" applyBorder="1" applyAlignment="1">
      <alignment horizontal="center" vertical="center" wrapText="1"/>
    </xf>
    <xf numFmtId="10" fontId="9" fillId="5" borderId="18" xfId="0" applyNumberFormat="1" applyFont="1" applyFill="1" applyBorder="1" applyAlignment="1">
      <alignment horizontal="center" vertical="center" wrapText="1"/>
    </xf>
    <xf numFmtId="0" fontId="9" fillId="5" borderId="19" xfId="0" applyFont="1" applyFill="1" applyBorder="1" applyAlignment="1">
      <alignment vertical="center" wrapText="1"/>
    </xf>
    <xf numFmtId="3" fontId="9" fillId="5" borderId="20" xfId="0" applyNumberFormat="1" applyFont="1" applyFill="1" applyBorder="1" applyAlignment="1">
      <alignment horizontal="center" vertical="center" wrapText="1"/>
    </xf>
    <xf numFmtId="10" fontId="9" fillId="5" borderId="20" xfId="0" applyNumberFormat="1" applyFont="1" applyFill="1" applyBorder="1" applyAlignment="1">
      <alignment horizontal="center" vertical="center" wrapText="1"/>
    </xf>
    <xf numFmtId="10" fontId="9" fillId="5" borderId="21" xfId="0" applyNumberFormat="1" applyFont="1" applyFill="1" applyBorder="1" applyAlignment="1">
      <alignment horizontal="center" vertical="center" wrapText="1"/>
    </xf>
    <xf numFmtId="0" fontId="9" fillId="0" borderId="25" xfId="0" applyFont="1" applyBorder="1" applyAlignment="1">
      <alignment vertical="center" wrapText="1"/>
    </xf>
    <xf numFmtId="3" fontId="9" fillId="9" borderId="26" xfId="0" applyNumberFormat="1" applyFont="1" applyFill="1" applyBorder="1" applyAlignment="1">
      <alignment horizontal="center" vertical="center" wrapText="1"/>
    </xf>
    <xf numFmtId="10" fontId="9" fillId="9" borderId="26" xfId="0" applyNumberFormat="1" applyFont="1" applyFill="1" applyBorder="1" applyAlignment="1">
      <alignment horizontal="center" vertical="center" wrapText="1"/>
    </xf>
    <xf numFmtId="10" fontId="9" fillId="9" borderId="27" xfId="0" applyNumberFormat="1" applyFont="1" applyFill="1" applyBorder="1" applyAlignment="1">
      <alignment horizontal="center" vertical="center" wrapText="1"/>
    </xf>
    <xf numFmtId="0" fontId="9" fillId="0" borderId="16" xfId="0" applyFont="1" applyBorder="1" applyAlignment="1">
      <alignment vertical="center" wrapText="1"/>
    </xf>
    <xf numFmtId="3" fontId="9" fillId="9" borderId="14" xfId="0" applyNumberFormat="1" applyFont="1" applyFill="1" applyBorder="1" applyAlignment="1">
      <alignment horizontal="center" vertical="center" wrapText="1"/>
    </xf>
    <xf numFmtId="10" fontId="9" fillId="9" borderId="14" xfId="0" applyNumberFormat="1" applyFont="1" applyFill="1" applyBorder="1" applyAlignment="1">
      <alignment horizontal="center" vertical="center" wrapText="1"/>
    </xf>
    <xf numFmtId="10" fontId="9" fillId="9" borderId="18" xfId="0" applyNumberFormat="1" applyFont="1" applyFill="1" applyBorder="1" applyAlignment="1">
      <alignment horizontal="center" vertical="center" wrapText="1"/>
    </xf>
    <xf numFmtId="0" fontId="9" fillId="0" borderId="19" xfId="0" applyFont="1" applyBorder="1" applyAlignment="1">
      <alignment vertical="center" wrapText="1"/>
    </xf>
    <xf numFmtId="3" fontId="9" fillId="9" borderId="20" xfId="0" applyNumberFormat="1" applyFont="1" applyFill="1" applyBorder="1" applyAlignment="1">
      <alignment horizontal="center" vertical="center" wrapText="1"/>
    </xf>
    <xf numFmtId="10" fontId="9" fillId="9" borderId="20" xfId="0" applyNumberFormat="1" applyFont="1" applyFill="1" applyBorder="1" applyAlignment="1">
      <alignment horizontal="center" vertical="center" wrapText="1"/>
    </xf>
    <xf numFmtId="10" fontId="9" fillId="9" borderId="21" xfId="0" applyNumberFormat="1" applyFont="1" applyFill="1" applyBorder="1" applyAlignment="1">
      <alignment horizontal="center" vertical="center" wrapText="1"/>
    </xf>
    <xf numFmtId="0" fontId="9" fillId="5" borderId="14" xfId="0" applyFont="1" applyFill="1" applyBorder="1" applyAlignment="1">
      <alignment vertical="center" wrapText="1"/>
    </xf>
    <xf numFmtId="0" fontId="9" fillId="0" borderId="14" xfId="0" applyFont="1" applyBorder="1" applyAlignment="1">
      <alignment vertical="center" wrapText="1"/>
    </xf>
    <xf numFmtId="0" fontId="9" fillId="0" borderId="14" xfId="0" applyFont="1" applyBorder="1" applyAlignment="1">
      <alignment horizontal="center" vertical="center"/>
    </xf>
    <xf numFmtId="0" fontId="10" fillId="2" borderId="0" xfId="0" applyFont="1" applyFill="1"/>
    <xf numFmtId="0" fontId="20" fillId="0" borderId="0" xfId="1" applyFont="1"/>
    <xf numFmtId="0" fontId="20" fillId="0" borderId="0" xfId="1" applyFont="1" applyFill="1" applyBorder="1" applyAlignment="1">
      <alignment horizontal="left" vertical="center"/>
    </xf>
    <xf numFmtId="3" fontId="10" fillId="0" borderId="14" xfId="0" applyNumberFormat="1" applyFont="1" applyBorder="1"/>
    <xf numFmtId="3" fontId="10" fillId="0" borderId="0" xfId="0" applyNumberFormat="1" applyFont="1"/>
    <xf numFmtId="0" fontId="10" fillId="0" borderId="7" xfId="0" applyFont="1" applyBorder="1"/>
    <xf numFmtId="0" fontId="10" fillId="0" borderId="2" xfId="0" applyFont="1" applyBorder="1"/>
    <xf numFmtId="0" fontId="10" fillId="0" borderId="11" xfId="0" applyFont="1" applyBorder="1"/>
    <xf numFmtId="3" fontId="10" fillId="2" borderId="0" xfId="0" applyNumberFormat="1" applyFont="1" applyFill="1"/>
    <xf numFmtId="0" fontId="10" fillId="0" borderId="10" xfId="0" applyFont="1" applyBorder="1"/>
    <xf numFmtId="0" fontId="10" fillId="0" borderId="6" xfId="0" applyFont="1" applyBorder="1"/>
    <xf numFmtId="0" fontId="10" fillId="0" borderId="13" xfId="0" applyFont="1" applyBorder="1"/>
    <xf numFmtId="0" fontId="8" fillId="0" borderId="0" xfId="1"/>
    <xf numFmtId="0" fontId="10" fillId="7" borderId="14" xfId="0" applyFont="1" applyFill="1" applyBorder="1"/>
    <xf numFmtId="2" fontId="10" fillId="0" borderId="14" xfId="0" applyNumberFormat="1" applyFont="1" applyBorder="1"/>
    <xf numFmtId="0" fontId="23" fillId="0" borderId="0" xfId="0" applyFont="1"/>
    <xf numFmtId="0" fontId="12" fillId="4" borderId="16" xfId="0" applyFont="1" applyFill="1" applyBorder="1"/>
    <xf numFmtId="0" fontId="12" fillId="4" borderId="14" xfId="0" applyFont="1" applyFill="1" applyBorder="1"/>
    <xf numFmtId="0" fontId="12" fillId="4" borderId="18" xfId="0" applyFont="1" applyFill="1" applyBorder="1"/>
    <xf numFmtId="0" fontId="0" fillId="0" borderId="14" xfId="0" applyBorder="1"/>
    <xf numFmtId="0" fontId="10" fillId="4" borderId="14" xfId="0" applyFont="1" applyFill="1" applyBorder="1"/>
    <xf numFmtId="0" fontId="12" fillId="4" borderId="14" xfId="0" applyFont="1" applyFill="1" applyBorder="1" applyAlignment="1">
      <alignment vertical="center"/>
    </xf>
    <xf numFmtId="0" fontId="10" fillId="0" borderId="14" xfId="0" applyFont="1" applyBorder="1" applyAlignment="1">
      <alignment horizontal="center" vertical="center"/>
    </xf>
    <xf numFmtId="0" fontId="10" fillId="7" borderId="14" xfId="0" applyFont="1" applyFill="1" applyBorder="1" applyAlignment="1">
      <alignment horizontal="center" vertical="center"/>
    </xf>
    <xf numFmtId="0" fontId="10" fillId="0" borderId="14" xfId="0" applyFont="1" applyBorder="1" applyAlignment="1">
      <alignment horizontal="center"/>
    </xf>
    <xf numFmtId="2" fontId="10" fillId="0" borderId="14" xfId="0" applyNumberFormat="1" applyFont="1" applyBorder="1" applyAlignment="1">
      <alignment horizontal="center"/>
    </xf>
    <xf numFmtId="0" fontId="10" fillId="7" borderId="14" xfId="0" applyFont="1" applyFill="1" applyBorder="1" applyAlignment="1">
      <alignment horizontal="center"/>
    </xf>
    <xf numFmtId="2" fontId="10" fillId="7" borderId="14" xfId="0" applyNumberFormat="1" applyFont="1" applyFill="1" applyBorder="1" applyAlignment="1">
      <alignment horizontal="center"/>
    </xf>
    <xf numFmtId="2" fontId="10" fillId="7" borderId="14" xfId="0" applyNumberFormat="1" applyFont="1" applyFill="1" applyBorder="1"/>
    <xf numFmtId="17" fontId="12" fillId="4" borderId="14" xfId="0" applyNumberFormat="1" applyFont="1" applyFill="1" applyBorder="1"/>
    <xf numFmtId="0" fontId="12" fillId="4" borderId="0" xfId="0" applyFont="1" applyFill="1"/>
    <xf numFmtId="0" fontId="24" fillId="4" borderId="22" xfId="0" applyFont="1" applyFill="1" applyBorder="1"/>
    <xf numFmtId="0" fontId="24" fillId="4" borderId="9" xfId="0" applyFont="1" applyFill="1" applyBorder="1"/>
    <xf numFmtId="0" fontId="24" fillId="4" borderId="23" xfId="0" applyFont="1" applyFill="1" applyBorder="1"/>
    <xf numFmtId="0" fontId="10" fillId="7" borderId="0" xfId="0" applyFont="1" applyFill="1"/>
    <xf numFmtId="9" fontId="10" fillId="0" borderId="14" xfId="2" applyFont="1" applyBorder="1"/>
    <xf numFmtId="0" fontId="25" fillId="0" borderId="14" xfId="0" applyFont="1" applyBorder="1" applyAlignment="1">
      <alignment wrapText="1"/>
    </xf>
    <xf numFmtId="17" fontId="0" fillId="0" borderId="0" xfId="0" applyNumberFormat="1"/>
    <xf numFmtId="0" fontId="27" fillId="0" borderId="0" xfId="0" applyFont="1"/>
    <xf numFmtId="0" fontId="1" fillId="0" borderId="0" xfId="0" applyFont="1" applyAlignment="1">
      <alignment horizontal="left"/>
    </xf>
    <xf numFmtId="0" fontId="3" fillId="0" borderId="0" xfId="0" applyFont="1" applyAlignment="1">
      <alignment horizontal="left"/>
    </xf>
    <xf numFmtId="0" fontId="28" fillId="4" borderId="14" xfId="0" applyFont="1" applyFill="1" applyBorder="1"/>
    <xf numFmtId="0" fontId="28" fillId="4" borderId="15" xfId="0" applyFont="1" applyFill="1" applyBorder="1"/>
    <xf numFmtId="0" fontId="27" fillId="5" borderId="0" xfId="0" applyFont="1" applyFill="1"/>
    <xf numFmtId="0" fontId="29" fillId="10" borderId="0" xfId="0" applyFont="1" applyFill="1"/>
    <xf numFmtId="0" fontId="10" fillId="0" borderId="12" xfId="0" applyFont="1" applyBorder="1"/>
    <xf numFmtId="0" fontId="12" fillId="4" borderId="24" xfId="0" applyFont="1" applyFill="1" applyBorder="1" applyAlignment="1">
      <alignment horizontal="left" vertical="center" wrapText="1"/>
    </xf>
    <xf numFmtId="0" fontId="12" fillId="4" borderId="14" xfId="0" applyFont="1" applyFill="1" applyBorder="1" applyAlignment="1">
      <alignment horizontal="center" vertical="center"/>
    </xf>
    <xf numFmtId="0" fontId="7" fillId="4" borderId="14" xfId="0" applyFont="1" applyFill="1" applyBorder="1" applyAlignment="1">
      <alignment horizontal="center" vertical="center"/>
    </xf>
    <xf numFmtId="0" fontId="12" fillId="4" borderId="14" xfId="0" applyFont="1" applyFill="1" applyBorder="1" applyAlignment="1">
      <alignment horizontal="center"/>
    </xf>
    <xf numFmtId="0" fontId="10" fillId="0" borderId="0" xfId="0" applyFont="1" applyAlignment="1">
      <alignment wrapText="1"/>
    </xf>
    <xf numFmtId="0" fontId="13" fillId="0" borderId="0" xfId="0" applyFont="1" applyAlignment="1">
      <alignment vertical="center"/>
    </xf>
    <xf numFmtId="0" fontId="20" fillId="2" borderId="0" xfId="1" applyFont="1" applyFill="1"/>
    <xf numFmtId="0" fontId="13" fillId="0" borderId="3" xfId="0" applyFont="1" applyBorder="1" applyAlignment="1">
      <alignment vertical="center"/>
    </xf>
    <xf numFmtId="0" fontId="20" fillId="2" borderId="10" xfId="1" applyFont="1" applyFill="1" applyBorder="1"/>
    <xf numFmtId="0" fontId="10" fillId="2" borderId="11" xfId="0" applyFont="1" applyFill="1" applyBorder="1"/>
    <xf numFmtId="0" fontId="13" fillId="0" borderId="10" xfId="0" applyFont="1" applyBorder="1" applyAlignment="1">
      <alignment vertical="center"/>
    </xf>
    <xf numFmtId="0" fontId="7" fillId="4" borderId="18" xfId="0" applyFont="1" applyFill="1" applyBorder="1" applyAlignment="1">
      <alignment horizontal="center" vertical="center" wrapText="1"/>
    </xf>
    <xf numFmtId="0" fontId="20" fillId="2" borderId="12" xfId="1" applyFont="1" applyFill="1" applyBorder="1"/>
    <xf numFmtId="0" fontId="10" fillId="2" borderId="6" xfId="0" applyFont="1" applyFill="1" applyBorder="1"/>
    <xf numFmtId="0" fontId="10" fillId="2" borderId="13" xfId="0" applyFont="1" applyFill="1" applyBorder="1"/>
    <xf numFmtId="0" fontId="12" fillId="4" borderId="14" xfId="0" applyFont="1" applyFill="1" applyBorder="1" applyAlignment="1">
      <alignment horizontal="center" vertical="center" wrapText="1"/>
    </xf>
    <xf numFmtId="8" fontId="9" fillId="0" borderId="14" xfId="0" applyNumberFormat="1" applyFont="1" applyBorder="1" applyAlignment="1">
      <alignment horizontal="center" vertical="center"/>
    </xf>
    <xf numFmtId="0" fontId="4" fillId="0" borderId="14" xfId="0" applyFont="1" applyBorder="1" applyAlignment="1">
      <alignment horizontal="center" vertical="center"/>
    </xf>
    <xf numFmtId="0" fontId="26" fillId="0" borderId="0" xfId="0" applyFont="1"/>
    <xf numFmtId="9" fontId="11" fillId="0" borderId="0" xfId="2" applyFont="1" applyBorder="1" applyAlignment="1">
      <alignment horizontal="left" vertical="center"/>
    </xf>
    <xf numFmtId="3" fontId="11" fillId="0" borderId="0" xfId="0" applyNumberFormat="1" applyFont="1" applyAlignment="1">
      <alignment horizontal="left" vertical="center"/>
    </xf>
    <xf numFmtId="0" fontId="10" fillId="0" borderId="0" xfId="0" applyFont="1" applyAlignment="1">
      <alignment horizontal="left"/>
    </xf>
    <xf numFmtId="9" fontId="10" fillId="8" borderId="14" xfId="2" applyFont="1" applyFill="1" applyBorder="1"/>
    <xf numFmtId="0" fontId="12" fillId="2" borderId="3" xfId="0" applyFont="1" applyFill="1" applyBorder="1" applyAlignment="1">
      <alignment horizontal="center" vertical="center" wrapText="1"/>
    </xf>
    <xf numFmtId="1" fontId="26" fillId="0" borderId="0" xfId="3" applyNumberFormat="1" applyFont="1"/>
    <xf numFmtId="0" fontId="26" fillId="0" borderId="0" xfId="3" applyFont="1" applyAlignment="1">
      <alignment horizontal="right"/>
    </xf>
    <xf numFmtId="3" fontId="19" fillId="0" borderId="0" xfId="3" applyNumberFormat="1" applyFont="1"/>
    <xf numFmtId="3" fontId="19" fillId="0" borderId="0" xfId="3" applyNumberFormat="1" applyFont="1" applyAlignment="1">
      <alignment horizontal="right"/>
    </xf>
    <xf numFmtId="0" fontId="19" fillId="2" borderId="0" xfId="3" applyFont="1" applyFill="1"/>
    <xf numFmtId="3" fontId="19" fillId="2" borderId="0" xfId="3" applyNumberFormat="1" applyFont="1" applyFill="1"/>
    <xf numFmtId="9" fontId="9" fillId="5" borderId="14" xfId="2" applyFont="1" applyFill="1" applyBorder="1" applyAlignment="1">
      <alignment horizontal="center" vertical="center" wrapText="1"/>
    </xf>
    <xf numFmtId="0" fontId="7" fillId="2" borderId="0" xfId="0" applyFont="1" applyFill="1" applyAlignment="1">
      <alignment vertical="center"/>
    </xf>
    <xf numFmtId="0" fontId="7" fillId="2" borderId="0" xfId="0" applyFont="1" applyFill="1" applyAlignment="1">
      <alignment horizontal="center" vertical="center" wrapText="1"/>
    </xf>
    <xf numFmtId="0" fontId="21" fillId="2" borderId="0" xfId="0" applyFont="1" applyFill="1" applyAlignment="1">
      <alignment horizontal="center" vertical="center" wrapText="1"/>
    </xf>
    <xf numFmtId="0" fontId="3" fillId="2" borderId="0" xfId="0" applyFont="1" applyFill="1" applyAlignment="1">
      <alignment vertical="center" wrapText="1"/>
    </xf>
    <xf numFmtId="164" fontId="9" fillId="0" borderId="14" xfId="0" applyNumberFormat="1" applyFont="1" applyBorder="1" applyAlignment="1">
      <alignment horizontal="center" vertical="center"/>
    </xf>
    <xf numFmtId="9" fontId="9" fillId="0" borderId="14" xfId="2" applyFont="1" applyBorder="1" applyAlignment="1">
      <alignment horizontal="center" vertical="center"/>
    </xf>
    <xf numFmtId="0" fontId="20" fillId="2" borderId="0" xfId="1" applyFont="1" applyFill="1" applyBorder="1"/>
    <xf numFmtId="0" fontId="11" fillId="2" borderId="0" xfId="0" applyFont="1" applyFill="1"/>
    <xf numFmtId="0" fontId="8" fillId="2" borderId="0" xfId="1" applyFill="1" applyAlignment="1"/>
    <xf numFmtId="0" fontId="37" fillId="0" borderId="0" xfId="20" applyFont="1"/>
    <xf numFmtId="0" fontId="10" fillId="0" borderId="0" xfId="0" applyFont="1" applyAlignment="1">
      <alignment horizontal="center"/>
    </xf>
    <xf numFmtId="0" fontId="10" fillId="0" borderId="6" xfId="0" applyFont="1" applyBorder="1" applyAlignment="1">
      <alignment horizontal="center"/>
    </xf>
    <xf numFmtId="0" fontId="10" fillId="0" borderId="13" xfId="0" applyFont="1" applyBorder="1" applyAlignment="1">
      <alignment horizontal="center"/>
    </xf>
    <xf numFmtId="0" fontId="24" fillId="4" borderId="16" xfId="0" applyFont="1" applyFill="1" applyBorder="1"/>
    <xf numFmtId="0" fontId="24" fillId="4" borderId="5" xfId="0" applyFont="1" applyFill="1" applyBorder="1"/>
    <xf numFmtId="0" fontId="12" fillId="4" borderId="28" xfId="0" applyFont="1" applyFill="1" applyBorder="1"/>
    <xf numFmtId="12" fontId="10" fillId="0" borderId="0" xfId="0" applyNumberFormat="1" applyFont="1"/>
    <xf numFmtId="0" fontId="11" fillId="5" borderId="14" xfId="0" applyFont="1" applyFill="1" applyBorder="1" applyAlignment="1">
      <alignment horizontal="left" vertical="center"/>
    </xf>
    <xf numFmtId="0" fontId="12" fillId="4" borderId="28" xfId="0" applyFont="1" applyFill="1" applyBorder="1" applyAlignment="1">
      <alignment horizontal="left" vertical="center"/>
    </xf>
    <xf numFmtId="9" fontId="10" fillId="0" borderId="0" xfId="0" applyNumberFormat="1" applyFont="1"/>
    <xf numFmtId="9" fontId="38" fillId="0" borderId="14" xfId="2" applyFont="1" applyFill="1" applyBorder="1" applyAlignment="1">
      <alignment horizontal="left" vertical="center"/>
    </xf>
    <xf numFmtId="0" fontId="12" fillId="4" borderId="24" xfId="0" applyFont="1" applyFill="1" applyBorder="1" applyAlignment="1">
      <alignment horizontal="center" vertical="center" wrapText="1"/>
    </xf>
    <xf numFmtId="3" fontId="9" fillId="0" borderId="14" xfId="0" applyNumberFormat="1" applyFont="1" applyBorder="1" applyAlignment="1">
      <alignment horizontal="center" vertical="center" wrapText="1"/>
    </xf>
    <xf numFmtId="9" fontId="9" fillId="0" borderId="14" xfId="2" applyFont="1" applyFill="1" applyBorder="1" applyAlignment="1">
      <alignment horizontal="center" vertical="center" wrapText="1"/>
    </xf>
    <xf numFmtId="9" fontId="9" fillId="0" borderId="23" xfId="2" applyFont="1" applyBorder="1" applyAlignment="1">
      <alignment horizontal="center" vertical="center"/>
    </xf>
    <xf numFmtId="0" fontId="12" fillId="4" borderId="16" xfId="0" applyFont="1" applyFill="1" applyBorder="1" applyAlignment="1">
      <alignment wrapText="1"/>
    </xf>
    <xf numFmtId="0" fontId="12" fillId="4" borderId="14" xfId="0" applyFont="1" applyFill="1" applyBorder="1" applyAlignment="1">
      <alignment wrapText="1"/>
    </xf>
    <xf numFmtId="0" fontId="12" fillId="4" borderId="18" xfId="0" applyFont="1" applyFill="1" applyBorder="1" applyAlignment="1">
      <alignment wrapText="1"/>
    </xf>
    <xf numFmtId="0" fontId="12" fillId="11" borderId="14" xfId="0" applyFont="1" applyFill="1" applyBorder="1" applyAlignment="1">
      <alignment wrapText="1"/>
    </xf>
    <xf numFmtId="0" fontId="12" fillId="0" borderId="5" xfId="0" applyFont="1" applyBorder="1"/>
    <xf numFmtId="9" fontId="10" fillId="0" borderId="0" xfId="2" applyFont="1" applyAlignment="1">
      <alignment horizontal="left"/>
    </xf>
    <xf numFmtId="166" fontId="10" fillId="0" borderId="14" xfId="6" applyNumberFormat="1" applyFont="1" applyBorder="1"/>
    <xf numFmtId="164" fontId="10" fillId="2" borderId="0" xfId="0" applyNumberFormat="1" applyFont="1" applyFill="1"/>
    <xf numFmtId="164" fontId="10" fillId="0" borderId="0" xfId="0" applyNumberFormat="1" applyFont="1"/>
    <xf numFmtId="9" fontId="9" fillId="0" borderId="14" xfId="0" applyNumberFormat="1" applyFont="1" applyBorder="1" applyAlignment="1">
      <alignment horizontal="center" vertical="center"/>
    </xf>
    <xf numFmtId="2" fontId="9" fillId="0" borderId="14" xfId="0" applyNumberFormat="1" applyFont="1" applyBorder="1" applyAlignment="1">
      <alignment horizontal="center" vertical="center"/>
    </xf>
    <xf numFmtId="0" fontId="12" fillId="2" borderId="0" xfId="0" applyFont="1" applyFill="1" applyAlignment="1">
      <alignment horizontal="left" vertical="center"/>
    </xf>
    <xf numFmtId="3" fontId="10" fillId="2" borderId="0" xfId="0" applyNumberFormat="1" applyFont="1" applyFill="1" applyAlignment="1">
      <alignment horizontal="left" vertical="center"/>
    </xf>
    <xf numFmtId="9" fontId="11" fillId="2" borderId="0" xfId="2" applyFont="1" applyFill="1" applyBorder="1" applyAlignment="1">
      <alignment horizontal="left" vertical="center"/>
    </xf>
    <xf numFmtId="10" fontId="9" fillId="2" borderId="0" xfId="0" applyNumberFormat="1" applyFont="1" applyFill="1" applyAlignment="1">
      <alignment horizontal="left" vertical="center"/>
    </xf>
    <xf numFmtId="3" fontId="11" fillId="2" borderId="0" xfId="0" applyNumberFormat="1" applyFont="1" applyFill="1" applyAlignment="1">
      <alignment horizontal="left" vertical="center"/>
    </xf>
    <xf numFmtId="9" fontId="10" fillId="2" borderId="0" xfId="2" applyFont="1" applyFill="1" applyBorder="1" applyAlignment="1">
      <alignment horizontal="left" vertical="center"/>
    </xf>
    <xf numFmtId="0" fontId="12" fillId="2" borderId="0" xfId="0" applyFont="1" applyFill="1" applyAlignment="1">
      <alignment horizontal="center" vertical="center" wrapText="1"/>
    </xf>
    <xf numFmtId="9" fontId="38" fillId="2" borderId="0" xfId="2" applyFont="1" applyFill="1" applyBorder="1" applyAlignment="1">
      <alignment horizontal="left" vertical="center"/>
    </xf>
    <xf numFmtId="43" fontId="10" fillId="2" borderId="0" xfId="6" applyFont="1" applyFill="1" applyBorder="1" applyAlignment="1">
      <alignment horizontal="left" vertical="center"/>
    </xf>
    <xf numFmtId="43" fontId="9" fillId="2" borderId="0" xfId="6" applyFont="1" applyFill="1" applyBorder="1" applyAlignment="1">
      <alignment horizontal="left" vertical="center"/>
    </xf>
    <xf numFmtId="0" fontId="39" fillId="2" borderId="0" xfId="0" applyFont="1" applyFill="1" applyAlignment="1">
      <alignment vertical="center"/>
    </xf>
    <xf numFmtId="9" fontId="40" fillId="2" borderId="0" xfId="2" applyFont="1" applyFill="1" applyBorder="1" applyAlignment="1">
      <alignment horizontal="center" vertical="center"/>
    </xf>
    <xf numFmtId="0" fontId="7" fillId="4" borderId="22" xfId="0" applyFont="1" applyFill="1" applyBorder="1" applyAlignment="1">
      <alignment horizontal="center" vertical="center" wrapText="1"/>
    </xf>
    <xf numFmtId="9" fontId="3" fillId="2" borderId="0" xfId="2" applyFont="1" applyFill="1" applyBorder="1" applyAlignment="1">
      <alignment vertical="center" wrapText="1"/>
    </xf>
    <xf numFmtId="164" fontId="3" fillId="2" borderId="0" xfId="0" applyNumberFormat="1" applyFont="1" applyFill="1" applyAlignment="1">
      <alignment vertical="center" wrapText="1"/>
    </xf>
    <xf numFmtId="0" fontId="12" fillId="2" borderId="0" xfId="0" applyFont="1" applyFill="1"/>
    <xf numFmtId="0" fontId="7" fillId="4" borderId="23" xfId="0" applyFont="1" applyFill="1" applyBorder="1" applyAlignment="1">
      <alignment horizontal="center" vertical="center" wrapText="1"/>
    </xf>
    <xf numFmtId="4" fontId="3" fillId="2" borderId="0" xfId="0" applyNumberFormat="1" applyFont="1" applyFill="1" applyAlignment="1">
      <alignment vertical="center" wrapText="1"/>
    </xf>
    <xf numFmtId="3" fontId="4" fillId="2" borderId="0" xfId="0" applyNumberFormat="1" applyFont="1" applyFill="1" applyAlignment="1">
      <alignment horizontal="right" vertical="center" wrapText="1"/>
    </xf>
    <xf numFmtId="9" fontId="4" fillId="2" borderId="0" xfId="2" applyFont="1" applyFill="1" applyBorder="1" applyAlignment="1">
      <alignment horizontal="right" vertical="center" wrapText="1"/>
    </xf>
    <xf numFmtId="3" fontId="11" fillId="0" borderId="14" xfId="0" applyNumberFormat="1" applyFont="1" applyBorder="1" applyAlignment="1">
      <alignment horizontal="center" vertical="center"/>
    </xf>
    <xf numFmtId="9" fontId="11" fillId="0" borderId="14" xfId="0" applyNumberFormat="1" applyFont="1" applyBorder="1" applyAlignment="1">
      <alignment horizontal="center" vertical="center"/>
    </xf>
    <xf numFmtId="0" fontId="8" fillId="0" borderId="10" xfId="1" applyBorder="1"/>
    <xf numFmtId="0" fontId="10" fillId="0" borderId="14" xfId="2" applyNumberFormat="1" applyFont="1" applyBorder="1"/>
    <xf numFmtId="0" fontId="12" fillId="2" borderId="0" xfId="0" applyFont="1" applyFill="1" applyAlignment="1">
      <alignment horizontal="center" vertical="center"/>
    </xf>
    <xf numFmtId="9" fontId="9" fillId="2" borderId="0" xfId="2" applyFont="1" applyFill="1" applyBorder="1" applyAlignment="1">
      <alignment horizontal="center" vertical="center" wrapText="1"/>
    </xf>
    <xf numFmtId="3" fontId="9" fillId="0" borderId="14" xfId="0" applyNumberFormat="1" applyFont="1" applyBorder="1" applyAlignment="1">
      <alignment horizontal="center" vertical="center"/>
    </xf>
    <xf numFmtId="3" fontId="9" fillId="0" borderId="14" xfId="0" applyNumberFormat="1" applyFont="1" applyBorder="1" applyAlignment="1">
      <alignment horizontal="right"/>
    </xf>
    <xf numFmtId="0" fontId="3" fillId="0" borderId="15" xfId="0" applyFont="1" applyBorder="1" applyAlignment="1">
      <alignment vertical="center" wrapText="1"/>
    </xf>
    <xf numFmtId="9" fontId="4" fillId="0" borderId="15" xfId="2" applyFont="1" applyBorder="1" applyAlignment="1">
      <alignment horizontal="right" vertical="center" wrapText="1"/>
    </xf>
    <xf numFmtId="3" fontId="10" fillId="9" borderId="14" xfId="0" applyNumberFormat="1" applyFont="1" applyFill="1" applyBorder="1" applyAlignment="1">
      <alignment horizontal="center" vertical="center"/>
    </xf>
    <xf numFmtId="3" fontId="13" fillId="0" borderId="14" xfId="0" applyNumberFormat="1" applyFont="1" applyBorder="1" applyAlignment="1">
      <alignment horizontal="center" vertical="center"/>
    </xf>
    <xf numFmtId="0" fontId="8" fillId="0" borderId="12" xfId="1" applyBorder="1"/>
    <xf numFmtId="3" fontId="0" fillId="0" borderId="14" xfId="0" applyNumberFormat="1" applyBorder="1" applyAlignment="1">
      <alignment vertical="top"/>
    </xf>
    <xf numFmtId="3" fontId="0" fillId="0" borderId="14" xfId="0" quotePrefix="1" applyNumberFormat="1" applyBorder="1" applyAlignment="1">
      <alignment vertical="top"/>
    </xf>
    <xf numFmtId="3" fontId="0" fillId="0" borderId="22" xfId="0" applyNumberFormat="1" applyBorder="1" applyAlignment="1">
      <alignment vertical="top"/>
    </xf>
    <xf numFmtId="3" fontId="0" fillId="0" borderId="14" xfId="0" applyNumberFormat="1" applyBorder="1" applyAlignment="1" applyProtection="1">
      <alignment vertical="top"/>
      <protection locked="0"/>
    </xf>
    <xf numFmtId="0" fontId="12" fillId="4" borderId="10" xfId="0" applyFont="1" applyFill="1" applyBorder="1"/>
    <xf numFmtId="3" fontId="0" fillId="0" borderId="0" xfId="0" applyNumberFormat="1" applyAlignment="1">
      <alignment vertical="top"/>
    </xf>
    <xf numFmtId="3" fontId="0" fillId="0" borderId="0" xfId="0" quotePrefix="1" applyNumberFormat="1" applyAlignment="1">
      <alignment vertical="top"/>
    </xf>
    <xf numFmtId="3" fontId="0" fillId="0" borderId="0" xfId="0" applyNumberFormat="1" applyAlignment="1" applyProtection="1">
      <alignment vertical="top"/>
      <protection locked="0"/>
    </xf>
    <xf numFmtId="0" fontId="39" fillId="2" borderId="0" xfId="0" applyFont="1" applyFill="1"/>
    <xf numFmtId="164" fontId="40" fillId="2" borderId="0" xfId="0" applyNumberFormat="1" applyFont="1" applyFill="1" applyAlignment="1">
      <alignment horizontal="center" vertical="center"/>
    </xf>
    <xf numFmtId="0" fontId="13" fillId="2" borderId="0" xfId="0" applyFont="1" applyFill="1" applyAlignment="1">
      <alignment vertical="center"/>
    </xf>
    <xf numFmtId="0" fontId="6" fillId="2" borderId="0" xfId="0" applyFont="1" applyFill="1" applyAlignment="1">
      <alignment horizontal="center" vertical="center" wrapText="1"/>
    </xf>
    <xf numFmtId="164" fontId="5" fillId="2" borderId="0" xfId="0" applyNumberFormat="1" applyFont="1" applyFill="1" applyAlignment="1">
      <alignment horizontal="center" vertical="center" wrapText="1"/>
    </xf>
    <xf numFmtId="0" fontId="39" fillId="2" borderId="0" xfId="0" applyFont="1" applyFill="1" applyAlignment="1">
      <alignment vertical="center" wrapText="1"/>
    </xf>
    <xf numFmtId="3" fontId="10" fillId="0" borderId="14" xfId="13" applyNumberFormat="1" applyFont="1" applyBorder="1" applyAlignment="1">
      <alignment horizontal="center"/>
    </xf>
    <xf numFmtId="0" fontId="48" fillId="20" borderId="14" xfId="0" applyFont="1" applyFill="1" applyBorder="1" applyAlignment="1">
      <alignment horizontal="center" vertical="center" wrapText="1"/>
    </xf>
    <xf numFmtId="0" fontId="19" fillId="15" borderId="14" xfId="0" applyFont="1" applyFill="1" applyBorder="1" applyAlignment="1">
      <alignment horizontal="left" vertical="center" wrapText="1"/>
    </xf>
    <xf numFmtId="165" fontId="19" fillId="15" borderId="14" xfId="0" applyNumberFormat="1" applyFont="1" applyFill="1" applyBorder="1" applyAlignment="1">
      <alignment horizontal="right" vertical="center" wrapText="1"/>
    </xf>
    <xf numFmtId="165" fontId="19" fillId="15" borderId="14" xfId="0" applyNumberFormat="1" applyFont="1" applyFill="1" applyBorder="1" applyAlignment="1">
      <alignment horizontal="center" vertical="center" wrapText="1"/>
    </xf>
    <xf numFmtId="167" fontId="19" fillId="15" borderId="14" xfId="0" applyNumberFormat="1" applyFont="1" applyFill="1" applyBorder="1" applyAlignment="1">
      <alignment horizontal="right" vertical="center" wrapText="1"/>
    </xf>
    <xf numFmtId="0" fontId="19" fillId="0" borderId="14" xfId="0" applyFont="1" applyBorder="1" applyAlignment="1">
      <alignment vertical="center" wrapText="1"/>
    </xf>
    <xf numFmtId="165" fontId="19" fillId="0" borderId="14" xfId="14" applyNumberFormat="1" applyFont="1" applyFill="1" applyBorder="1" applyAlignment="1">
      <alignment horizontal="right" vertical="center"/>
    </xf>
    <xf numFmtId="0" fontId="18" fillId="15" borderId="0" xfId="0" applyFont="1" applyFill="1" applyAlignment="1">
      <alignment horizontal="left"/>
    </xf>
    <xf numFmtId="0" fontId="9" fillId="15" borderId="0" xfId="0" applyFont="1" applyFill="1"/>
    <xf numFmtId="0" fontId="48" fillId="15" borderId="0" xfId="0" applyFont="1" applyFill="1"/>
    <xf numFmtId="3" fontId="9" fillId="0" borderId="14" xfId="2" applyNumberFormat="1" applyFont="1" applyFill="1" applyBorder="1" applyAlignment="1">
      <alignment horizontal="center" vertical="center"/>
    </xf>
    <xf numFmtId="3" fontId="9" fillId="0" borderId="14" xfId="14" applyNumberFormat="1" applyFont="1" applyFill="1" applyBorder="1" applyAlignment="1">
      <alignment horizontal="center" vertical="center"/>
    </xf>
    <xf numFmtId="3" fontId="9" fillId="15" borderId="14" xfId="0" applyNumberFormat="1" applyFont="1" applyFill="1" applyBorder="1"/>
    <xf numFmtId="9" fontId="9" fillId="15" borderId="0" xfId="0" applyNumberFormat="1" applyFont="1" applyFill="1"/>
    <xf numFmtId="1" fontId="26" fillId="15" borderId="0" xfId="0" applyNumberFormat="1" applyFont="1" applyFill="1" applyAlignment="1">
      <alignment vertical="center"/>
    </xf>
    <xf numFmtId="0" fontId="19" fillId="20" borderId="14" xfId="0" applyFont="1" applyFill="1" applyBorder="1" applyAlignment="1">
      <alignment horizontal="center" vertical="center"/>
    </xf>
    <xf numFmtId="1" fontId="19" fillId="21" borderId="14" xfId="0" applyNumberFormat="1" applyFont="1" applyFill="1" applyBorder="1" applyAlignment="1">
      <alignment vertical="center" wrapText="1"/>
    </xf>
    <xf numFmtId="171" fontId="19" fillId="0" borderId="14" xfId="14" applyNumberFormat="1" applyFont="1" applyFill="1" applyBorder="1" applyAlignment="1">
      <alignment horizontal="center" vertical="center" wrapText="1"/>
    </xf>
    <xf numFmtId="44" fontId="19" fillId="0" borderId="14" xfId="14" applyFont="1" applyFill="1" applyBorder="1" applyAlignment="1">
      <alignment horizontal="center" vertical="center" wrapText="1"/>
    </xf>
    <xf numFmtId="9" fontId="19" fillId="0" borderId="14" xfId="2" applyFont="1" applyFill="1" applyBorder="1" applyAlignment="1">
      <alignment horizontal="center" vertical="center" wrapText="1"/>
    </xf>
    <xf numFmtId="1" fontId="19" fillId="15" borderId="0" xfId="0" applyNumberFormat="1" applyFont="1" applyFill="1" applyAlignment="1">
      <alignment vertical="center"/>
    </xf>
    <xf numFmtId="1" fontId="26" fillId="0" borderId="0" xfId="0" applyNumberFormat="1" applyFont="1" applyAlignment="1">
      <alignment vertical="center"/>
    </xf>
    <xf numFmtId="0" fontId="49" fillId="15" borderId="0" xfId="21" applyFont="1" applyFill="1" applyBorder="1" applyAlignment="1">
      <alignment vertical="center" wrapText="1"/>
    </xf>
    <xf numFmtId="0" fontId="48" fillId="20" borderId="14" xfId="21" applyFont="1" applyFill="1" applyBorder="1" applyAlignment="1">
      <alignment horizontal="left"/>
    </xf>
    <xf numFmtId="0" fontId="48" fillId="20" borderId="14" xfId="21" applyFont="1" applyFill="1" applyBorder="1" applyAlignment="1">
      <alignment horizontal="center" vertical="center" wrapText="1"/>
    </xf>
    <xf numFmtId="0" fontId="48" fillId="20" borderId="14" xfId="21" applyFont="1" applyFill="1" applyBorder="1" applyAlignment="1">
      <alignment horizontal="center" vertical="center"/>
    </xf>
    <xf numFmtId="0" fontId="19" fillId="21" borderId="14" xfId="21" applyFont="1" applyFill="1" applyBorder="1"/>
    <xf numFmtId="165" fontId="19" fillId="21" borderId="14" xfId="21" applyNumberFormat="1" applyFont="1" applyFill="1" applyBorder="1" applyAlignment="1">
      <alignment horizontal="center"/>
    </xf>
    <xf numFmtId="9" fontId="19" fillId="21" borderId="14" xfId="2" applyFont="1" applyFill="1" applyBorder="1" applyAlignment="1">
      <alignment horizontal="center"/>
    </xf>
    <xf numFmtId="165" fontId="19" fillId="0" borderId="14" xfId="21" applyNumberFormat="1" applyFont="1" applyFill="1" applyBorder="1" applyAlignment="1">
      <alignment horizontal="center"/>
    </xf>
    <xf numFmtId="165" fontId="48" fillId="15" borderId="0" xfId="0" applyNumberFormat="1" applyFont="1" applyFill="1"/>
    <xf numFmtId="0" fontId="26" fillId="21" borderId="14" xfId="21" applyFont="1" applyFill="1" applyBorder="1"/>
    <xf numFmtId="9" fontId="19" fillId="21" borderId="14" xfId="2" quotePrefix="1" applyFont="1" applyFill="1" applyBorder="1" applyAlignment="1">
      <alignment horizontal="center"/>
    </xf>
    <xf numFmtId="0" fontId="5" fillId="2" borderId="0" xfId="0" applyFont="1" applyFill="1" applyAlignment="1">
      <alignment horizontal="center" vertical="center" wrapText="1"/>
    </xf>
    <xf numFmtId="0" fontId="3" fillId="2" borderId="0" xfId="0" applyFont="1" applyFill="1"/>
    <xf numFmtId="0" fontId="26" fillId="2" borderId="0" xfId="0" applyFont="1" applyFill="1" applyAlignment="1">
      <alignment vertical="center"/>
    </xf>
    <xf numFmtId="0" fontId="7" fillId="2" borderId="14" xfId="0" applyFont="1" applyFill="1" applyBorder="1" applyAlignment="1">
      <alignment horizontal="center" vertical="center"/>
    </xf>
    <xf numFmtId="0" fontId="7" fillId="2" borderId="14" xfId="0" applyFont="1" applyFill="1" applyBorder="1" applyAlignment="1">
      <alignment horizontal="center" vertical="center" wrapText="1"/>
    </xf>
    <xf numFmtId="0" fontId="7" fillId="2" borderId="14" xfId="0" applyFont="1" applyFill="1" applyBorder="1" applyAlignment="1">
      <alignment vertical="center"/>
    </xf>
    <xf numFmtId="166" fontId="10" fillId="2" borderId="14" xfId="6" applyNumberFormat="1" applyFont="1" applyFill="1" applyBorder="1"/>
    <xf numFmtId="0" fontId="10" fillId="2" borderId="0" xfId="0" applyFont="1" applyFill="1" applyAlignment="1">
      <alignment horizontal="left" vertical="center" indent="5"/>
    </xf>
    <xf numFmtId="0" fontId="13" fillId="2" borderId="0" xfId="0" applyFont="1" applyFill="1"/>
    <xf numFmtId="0" fontId="3" fillId="2" borderId="0" xfId="0" applyFont="1" applyFill="1" applyAlignment="1">
      <alignment horizontal="left" vertical="center" indent="5"/>
    </xf>
    <xf numFmtId="0" fontId="3" fillId="2" borderId="0" xfId="0" applyFont="1" applyFill="1" applyAlignment="1">
      <alignment vertical="center"/>
    </xf>
    <xf numFmtId="0" fontId="10" fillId="2" borderId="14" xfId="0" applyFont="1" applyFill="1" applyBorder="1" applyAlignment="1">
      <alignment horizontal="left" vertical="center"/>
    </xf>
    <xf numFmtId="3" fontId="10" fillId="2" borderId="14" xfId="0" applyNumberFormat="1" applyFont="1" applyFill="1" applyBorder="1" applyAlignment="1">
      <alignment horizontal="left" vertical="center"/>
    </xf>
    <xf numFmtId="0" fontId="32" fillId="2" borderId="0" xfId="0" applyFont="1" applyFill="1" applyAlignment="1">
      <alignment horizontal="left" vertical="center" indent="5"/>
    </xf>
    <xf numFmtId="0" fontId="9" fillId="2" borderId="14" xfId="0" applyFont="1" applyFill="1" applyBorder="1" applyAlignment="1">
      <alignment horizontal="left" vertical="center" wrapText="1"/>
    </xf>
    <xf numFmtId="0" fontId="9" fillId="2" borderId="14" xfId="0" applyFont="1" applyFill="1" applyBorder="1" applyAlignment="1">
      <alignment horizontal="left" vertical="center"/>
    </xf>
    <xf numFmtId="9" fontId="10" fillId="2" borderId="14" xfId="2" applyFont="1" applyFill="1" applyBorder="1" applyAlignment="1">
      <alignment horizontal="left" vertical="center"/>
    </xf>
    <xf numFmtId="0" fontId="10" fillId="2" borderId="14" xfId="0" applyFont="1" applyFill="1" applyBorder="1" applyAlignment="1">
      <alignment vertical="center" wrapText="1"/>
    </xf>
    <xf numFmtId="0" fontId="11" fillId="2" borderId="14" xfId="0" applyFont="1" applyFill="1" applyBorder="1" applyAlignment="1">
      <alignment horizontal="center" vertical="center"/>
    </xf>
    <xf numFmtId="9" fontId="11" fillId="2" borderId="14" xfId="2" applyFont="1" applyFill="1" applyBorder="1" applyAlignment="1">
      <alignment horizontal="center" vertical="center"/>
    </xf>
    <xf numFmtId="3" fontId="9" fillId="2" borderId="14" xfId="0" applyNumberFormat="1" applyFont="1" applyFill="1" applyBorder="1" applyAlignment="1">
      <alignment horizontal="center" vertical="center" wrapText="1"/>
    </xf>
    <xf numFmtId="10" fontId="9" fillId="2" borderId="14" xfId="0" applyNumberFormat="1" applyFont="1" applyFill="1" applyBorder="1" applyAlignment="1">
      <alignment horizontal="center" vertical="center" wrapText="1"/>
    </xf>
    <xf numFmtId="9" fontId="9" fillId="2" borderId="14" xfId="2" applyFont="1" applyFill="1" applyBorder="1" applyAlignment="1">
      <alignment horizontal="center" vertical="center" wrapText="1"/>
    </xf>
    <xf numFmtId="0" fontId="9" fillId="2" borderId="14" xfId="0" applyFont="1" applyFill="1" applyBorder="1" applyAlignment="1">
      <alignment horizontal="center" vertical="center"/>
    </xf>
    <xf numFmtId="3" fontId="9" fillId="2" borderId="14" xfId="0" applyNumberFormat="1" applyFont="1" applyFill="1" applyBorder="1" applyAlignment="1">
      <alignment horizontal="center" vertical="center"/>
    </xf>
    <xf numFmtId="10" fontId="9" fillId="2" borderId="14" xfId="0" applyNumberFormat="1" applyFont="1" applyFill="1" applyBorder="1" applyAlignment="1">
      <alignment horizontal="center" vertical="center"/>
    </xf>
    <xf numFmtId="0" fontId="11" fillId="2" borderId="0" xfId="0" applyFont="1" applyFill="1" applyAlignment="1">
      <alignment horizontal="left" vertical="center"/>
    </xf>
    <xf numFmtId="3" fontId="10" fillId="2" borderId="14" xfId="0" applyNumberFormat="1" applyFont="1" applyFill="1" applyBorder="1" applyAlignment="1">
      <alignment horizontal="center"/>
    </xf>
    <xf numFmtId="3" fontId="10" fillId="2" borderId="14" xfId="0" applyNumberFormat="1" applyFont="1" applyFill="1" applyBorder="1" applyAlignment="1">
      <alignment horizontal="center" vertical="center"/>
    </xf>
    <xf numFmtId="10" fontId="10" fillId="2" borderId="14" xfId="0" applyNumberFormat="1" applyFont="1" applyFill="1" applyBorder="1" applyAlignment="1">
      <alignment horizontal="center" vertical="center"/>
    </xf>
    <xf numFmtId="3" fontId="19" fillId="0" borderId="14" xfId="0" applyNumberFormat="1" applyFont="1" applyBorder="1" applyAlignment="1">
      <alignment horizontal="right"/>
    </xf>
    <xf numFmtId="169" fontId="10" fillId="19" borderId="14" xfId="0" applyNumberFormat="1" applyFont="1" applyFill="1" applyBorder="1" applyAlignment="1">
      <alignment horizontal="right"/>
    </xf>
    <xf numFmtId="169" fontId="10" fillId="16" borderId="14" xfId="0" applyNumberFormat="1" applyFont="1" applyFill="1" applyBorder="1" applyAlignment="1">
      <alignment horizontal="right"/>
    </xf>
    <xf numFmtId="169" fontId="10" fillId="18" borderId="14" xfId="0" applyNumberFormat="1" applyFont="1" applyFill="1" applyBorder="1" applyAlignment="1">
      <alignment horizontal="right"/>
    </xf>
    <xf numFmtId="169" fontId="10" fillId="17" borderId="14" xfId="0" applyNumberFormat="1" applyFont="1" applyFill="1" applyBorder="1" applyAlignment="1">
      <alignment horizontal="right"/>
    </xf>
    <xf numFmtId="12" fontId="10" fillId="0" borderId="14" xfId="2" applyNumberFormat="1" applyFont="1" applyBorder="1"/>
    <xf numFmtId="0" fontId="10" fillId="0" borderId="18" xfId="2" applyNumberFormat="1" applyFont="1" applyBorder="1"/>
    <xf numFmtId="0" fontId="12" fillId="4" borderId="14" xfId="0" applyFont="1" applyFill="1" applyBorder="1" applyAlignment="1">
      <alignment horizontal="left" vertical="center" wrapText="1"/>
    </xf>
    <xf numFmtId="0" fontId="19" fillId="0" borderId="14" xfId="0" applyFont="1" applyBorder="1"/>
    <xf numFmtId="0" fontId="11" fillId="8" borderId="14" xfId="0" applyFont="1" applyFill="1" applyBorder="1" applyAlignment="1">
      <alignment horizontal="left" vertical="center"/>
    </xf>
    <xf numFmtId="3" fontId="18" fillId="14" borderId="14" xfId="0" applyNumberFormat="1" applyFont="1" applyFill="1" applyBorder="1" applyAlignment="1">
      <alignment horizontal="left" vertical="center"/>
    </xf>
    <xf numFmtId="3" fontId="18" fillId="0" borderId="14" xfId="0" applyNumberFormat="1" applyFont="1" applyBorder="1" applyAlignment="1">
      <alignment horizontal="left" vertical="center"/>
    </xf>
    <xf numFmtId="0" fontId="12" fillId="2" borderId="0" xfId="0" applyFont="1" applyFill="1" applyAlignment="1">
      <alignment horizontal="left" vertical="center" wrapText="1"/>
    </xf>
    <xf numFmtId="9" fontId="11" fillId="2" borderId="0" xfId="2" applyFont="1" applyFill="1" applyBorder="1" applyAlignment="1">
      <alignment horizontal="left" vertical="center" wrapText="1"/>
    </xf>
    <xf numFmtId="0" fontId="10" fillId="2" borderId="0" xfId="0" applyFont="1" applyFill="1" applyAlignment="1">
      <alignment wrapText="1"/>
    </xf>
    <xf numFmtId="3" fontId="10" fillId="2" borderId="0" xfId="0" applyNumberFormat="1" applyFont="1" applyFill="1" applyAlignment="1">
      <alignment horizontal="left" vertical="center" wrapText="1"/>
    </xf>
    <xf numFmtId="10" fontId="9" fillId="2" borderId="0" xfId="0" applyNumberFormat="1" applyFont="1" applyFill="1" applyAlignment="1">
      <alignment horizontal="left" vertical="center" wrapText="1"/>
    </xf>
    <xf numFmtId="0" fontId="12" fillId="4" borderId="15" xfId="0" applyFont="1" applyFill="1" applyBorder="1" applyAlignment="1">
      <alignment horizontal="left" vertical="center" wrapText="1"/>
    </xf>
    <xf numFmtId="3" fontId="11" fillId="2" borderId="0" xfId="0" applyNumberFormat="1" applyFont="1" applyFill="1" applyAlignment="1">
      <alignment horizontal="left" vertical="center" wrapText="1"/>
    </xf>
    <xf numFmtId="0" fontId="10" fillId="0" borderId="14" xfId="0" applyFont="1" applyBorder="1" applyAlignment="1">
      <alignment wrapText="1"/>
    </xf>
    <xf numFmtId="166" fontId="10" fillId="12" borderId="14" xfId="6" applyNumberFormat="1" applyFont="1" applyFill="1" applyBorder="1" applyAlignment="1">
      <alignment horizontal="left" wrapText="1"/>
    </xf>
    <xf numFmtId="166" fontId="10" fillId="0" borderId="14" xfId="0" applyNumberFormat="1" applyFont="1" applyBorder="1" applyAlignment="1">
      <alignment horizontal="left" wrapText="1"/>
    </xf>
    <xf numFmtId="3" fontId="10" fillId="12" borderId="14" xfId="0" applyNumberFormat="1" applyFont="1" applyFill="1" applyBorder="1" applyAlignment="1">
      <alignment wrapText="1"/>
    </xf>
    <xf numFmtId="166" fontId="10" fillId="0" borderId="0" xfId="0" applyNumberFormat="1" applyFont="1" applyAlignment="1">
      <alignment horizontal="left" wrapText="1"/>
    </xf>
    <xf numFmtId="0" fontId="10" fillId="13" borderId="14" xfId="0" applyFont="1" applyFill="1" applyBorder="1" applyAlignment="1">
      <alignment wrapText="1"/>
    </xf>
    <xf numFmtId="9" fontId="10" fillId="0" borderId="14" xfId="2" applyFont="1" applyBorder="1" applyAlignment="1">
      <alignment wrapText="1"/>
    </xf>
    <xf numFmtId="3" fontId="10" fillId="0" borderId="14" xfId="0" applyNumberFormat="1" applyFont="1" applyBorder="1" applyAlignment="1">
      <alignment wrapText="1"/>
    </xf>
    <xf numFmtId="9" fontId="10" fillId="8" borderId="14" xfId="2" applyFont="1" applyFill="1" applyBorder="1" applyAlignment="1">
      <alignment wrapText="1"/>
    </xf>
    <xf numFmtId="3" fontId="19" fillId="0" borderId="14" xfId="13" applyNumberFormat="1" applyFont="1" applyBorder="1" applyAlignment="1">
      <alignment horizontal="center"/>
    </xf>
    <xf numFmtId="3" fontId="19" fillId="0" borderId="14" xfId="13" applyNumberFormat="1" applyFont="1" applyBorder="1" applyAlignment="1">
      <alignment horizontal="center" wrapText="1"/>
    </xf>
    <xf numFmtId="167" fontId="19" fillId="0" borderId="14" xfId="2" applyNumberFormat="1" applyFont="1" applyFill="1" applyBorder="1" applyAlignment="1">
      <alignment horizontal="center"/>
    </xf>
    <xf numFmtId="0" fontId="19" fillId="2" borderId="0" xfId="0" applyFont="1" applyFill="1" applyAlignment="1">
      <alignment horizontal="left" vertical="center"/>
    </xf>
    <xf numFmtId="9" fontId="19" fillId="15" borderId="0" xfId="2" applyFont="1" applyFill="1" applyBorder="1"/>
    <xf numFmtId="0" fontId="12" fillId="4" borderId="14" xfId="0" applyFont="1" applyFill="1" applyBorder="1" applyAlignment="1">
      <alignment horizontal="center" vertical="center"/>
    </xf>
    <xf numFmtId="0" fontId="12" fillId="4" borderId="14" xfId="0" applyFont="1" applyFill="1" applyBorder="1" applyAlignment="1">
      <alignment horizontal="center" vertical="center"/>
    </xf>
    <xf numFmtId="0" fontId="22" fillId="2" borderId="0" xfId="0" applyFont="1" applyFill="1" applyAlignment="1">
      <alignment vertical="center"/>
    </xf>
    <xf numFmtId="0" fontId="10" fillId="0" borderId="14" xfId="0" applyFont="1" applyBorder="1" applyAlignment="1">
      <alignment horizontal="center"/>
    </xf>
    <xf numFmtId="0" fontId="10" fillId="0" borderId="0" xfId="0" applyFont="1" applyAlignment="1">
      <alignment horizontal="center"/>
    </xf>
    <xf numFmtId="10" fontId="10" fillId="0" borderId="14" xfId="6" applyNumberFormat="1" applyFont="1" applyBorder="1"/>
    <xf numFmtId="172" fontId="19" fillId="0" borderId="14" xfId="2" applyNumberFormat="1" applyFont="1" applyBorder="1"/>
    <xf numFmtId="1" fontId="19" fillId="52" borderId="14" xfId="0" applyNumberFormat="1" applyFont="1" applyFill="1" applyBorder="1"/>
    <xf numFmtId="9" fontId="11" fillId="0" borderId="0" xfId="0" applyNumberFormat="1" applyFont="1" applyFill="1" applyAlignment="1">
      <alignment horizontal="left" vertical="center"/>
    </xf>
    <xf numFmtId="0" fontId="10" fillId="0" borderId="0" xfId="0" applyFont="1" applyFill="1" applyAlignment="1">
      <alignment wrapText="1"/>
    </xf>
    <xf numFmtId="0" fontId="12" fillId="0" borderId="0" xfId="0" applyFont="1" applyFill="1" applyAlignment="1">
      <alignment horizontal="left" vertical="center"/>
    </xf>
    <xf numFmtId="3" fontId="10" fillId="0" borderId="0" xfId="0" applyNumberFormat="1" applyFont="1" applyFill="1"/>
    <xf numFmtId="0" fontId="10" fillId="0" borderId="0" xfId="0" applyFont="1" applyFill="1"/>
    <xf numFmtId="10" fontId="10" fillId="0" borderId="14" xfId="0" applyNumberFormat="1" applyFont="1" applyBorder="1"/>
    <xf numFmtId="10" fontId="10" fillId="0" borderId="14" xfId="0" applyNumberFormat="1" applyFont="1" applyFill="1" applyBorder="1" applyAlignment="1">
      <alignment wrapText="1"/>
    </xf>
    <xf numFmtId="168" fontId="19" fillId="52" borderId="14" xfId="0" applyNumberFormat="1" applyFont="1" applyFill="1" applyBorder="1"/>
    <xf numFmtId="3" fontId="19" fillId="0" borderId="14" xfId="0" applyNumberFormat="1" applyFont="1" applyBorder="1" applyAlignment="1">
      <alignment horizontal="center"/>
    </xf>
    <xf numFmtId="3" fontId="9" fillId="2" borderId="0" xfId="0" applyNumberFormat="1" applyFont="1" applyFill="1" applyBorder="1" applyAlignment="1">
      <alignment horizontal="center" vertical="center"/>
    </xf>
    <xf numFmtId="0" fontId="13" fillId="0" borderId="0" xfId="0" applyFont="1" applyFill="1"/>
    <xf numFmtId="167" fontId="19" fillId="0" borderId="14" xfId="0" applyNumberFormat="1" applyFont="1" applyBorder="1"/>
    <xf numFmtId="10" fontId="19" fillId="0" borderId="14" xfId="2" applyNumberFormat="1" applyFont="1" applyBorder="1"/>
    <xf numFmtId="10" fontId="19" fillId="0" borderId="14" xfId="0" applyNumberFormat="1" applyFont="1" applyBorder="1"/>
    <xf numFmtId="0" fontId="19" fillId="52" borderId="14" xfId="0" applyFont="1" applyFill="1" applyBorder="1"/>
    <xf numFmtId="0" fontId="13" fillId="0" borderId="0" xfId="0" applyFont="1" applyFill="1" applyAlignment="1">
      <alignment vertical="center"/>
    </xf>
    <xf numFmtId="0" fontId="20" fillId="0" borderId="0" xfId="1" applyFont="1" applyFill="1" applyBorder="1"/>
    <xf numFmtId="0" fontId="10" fillId="2" borderId="0" xfId="0" applyFont="1" applyFill="1" applyBorder="1" applyAlignment="1">
      <alignment vertical="center" wrapText="1"/>
    </xf>
    <xf numFmtId="0" fontId="10" fillId="2" borderId="14" xfId="0" applyFont="1" applyFill="1" applyBorder="1" applyAlignment="1">
      <alignment horizontal="left" vertical="center" wrapText="1"/>
    </xf>
    <xf numFmtId="2" fontId="70" fillId="0" borderId="0" xfId="0" applyNumberFormat="1" applyFont="1"/>
    <xf numFmtId="10" fontId="11" fillId="2" borderId="14" xfId="2" applyNumberFormat="1" applyFont="1" applyFill="1" applyBorder="1" applyAlignment="1">
      <alignment horizontal="center" vertical="center"/>
    </xf>
    <xf numFmtId="0" fontId="10" fillId="0" borderId="0" xfId="0" applyFont="1" applyBorder="1"/>
    <xf numFmtId="0" fontId="10" fillId="0" borderId="14" xfId="0" applyFont="1" applyBorder="1" applyAlignment="1">
      <alignment vertical="center" wrapText="1"/>
    </xf>
    <xf numFmtId="165" fontId="10" fillId="0" borderId="14" xfId="0" applyNumberFormat="1" applyFont="1" applyBorder="1" applyAlignment="1">
      <alignment vertical="center" wrapText="1"/>
    </xf>
    <xf numFmtId="10" fontId="10" fillId="0" borderId="14" xfId="2" applyNumberFormat="1" applyFont="1" applyBorder="1" applyAlignment="1">
      <alignment vertical="center" wrapText="1"/>
    </xf>
    <xf numFmtId="9" fontId="10" fillId="0" borderId="14" xfId="2" applyFont="1" applyBorder="1" applyAlignment="1">
      <alignment vertical="center" wrapText="1"/>
    </xf>
    <xf numFmtId="164" fontId="10" fillId="2" borderId="0" xfId="0" applyNumberFormat="1" applyFont="1" applyFill="1" applyAlignment="1">
      <alignment vertical="center" wrapText="1"/>
    </xf>
    <xf numFmtId="9" fontId="10" fillId="2" borderId="0" xfId="2" applyFont="1" applyFill="1" applyBorder="1" applyAlignment="1">
      <alignment vertical="center" wrapText="1"/>
    </xf>
    <xf numFmtId="166" fontId="10" fillId="0" borderId="14" xfId="6" applyNumberFormat="1" applyFont="1" applyBorder="1" applyAlignment="1">
      <alignment horizontal="center" vertical="center"/>
    </xf>
    <xf numFmtId="166" fontId="10" fillId="0" borderId="14" xfId="6" applyNumberFormat="1" applyFont="1" applyBorder="1" applyAlignment="1">
      <alignment horizontal="left" vertical="center" wrapText="1"/>
    </xf>
    <xf numFmtId="10" fontId="10" fillId="0" borderId="14" xfId="0" applyNumberFormat="1" applyFont="1" applyBorder="1" applyAlignment="1">
      <alignment horizontal="center" vertical="center"/>
    </xf>
    <xf numFmtId="0" fontId="10" fillId="0" borderId="14" xfId="0" applyFont="1" applyBorder="1" applyAlignment="1">
      <alignment horizontal="left" vertical="center" wrapText="1"/>
    </xf>
    <xf numFmtId="10" fontId="10" fillId="0" borderId="14" xfId="2" applyNumberFormat="1" applyFont="1" applyBorder="1" applyAlignment="1">
      <alignment horizontal="left" vertical="center" wrapText="1"/>
    </xf>
    <xf numFmtId="10" fontId="10" fillId="0" borderId="14" xfId="2" applyNumberFormat="1" applyFont="1" applyBorder="1" applyAlignment="1">
      <alignment horizontal="right" vertical="center" wrapText="1"/>
    </xf>
    <xf numFmtId="164" fontId="10" fillId="0" borderId="14" xfId="0" applyNumberFormat="1" applyFont="1" applyBorder="1" applyAlignment="1">
      <alignment vertical="center" wrapText="1"/>
    </xf>
    <xf numFmtId="0" fontId="19" fillId="2" borderId="14" xfId="0" applyFont="1" applyFill="1" applyBorder="1" applyAlignment="1">
      <alignment horizontal="center" vertical="center" wrapText="1"/>
    </xf>
    <xf numFmtId="0" fontId="19" fillId="2" borderId="14" xfId="0" applyFont="1" applyFill="1" applyBorder="1" applyAlignment="1">
      <alignment horizontal="center" vertical="center"/>
    </xf>
    <xf numFmtId="164" fontId="19" fillId="2" borderId="14" xfId="0" applyNumberFormat="1" applyFont="1" applyFill="1" applyBorder="1" applyAlignment="1">
      <alignment horizontal="center" vertical="center"/>
    </xf>
    <xf numFmtId="164" fontId="19" fillId="2" borderId="14" xfId="0" applyNumberFormat="1" applyFont="1" applyFill="1" applyBorder="1" applyAlignment="1">
      <alignment horizontal="center" vertical="center" wrapText="1"/>
    </xf>
    <xf numFmtId="3" fontId="9" fillId="0" borderId="0" xfId="0" applyNumberFormat="1" applyFont="1" applyBorder="1" applyAlignment="1">
      <alignment horizontal="right"/>
    </xf>
    <xf numFmtId="9" fontId="10" fillId="0" borderId="0" xfId="2" applyFont="1" applyBorder="1"/>
    <xf numFmtId="0" fontId="12" fillId="4" borderId="14" xfId="0" applyFont="1" applyFill="1" applyBorder="1" applyAlignment="1">
      <alignment horizontal="left"/>
    </xf>
    <xf numFmtId="9" fontId="10" fillId="0" borderId="0" xfId="2" applyFont="1"/>
    <xf numFmtId="10" fontId="9" fillId="0" borderId="14" xfId="2" applyNumberFormat="1" applyFont="1" applyBorder="1" applyAlignment="1">
      <alignment horizontal="right"/>
    </xf>
    <xf numFmtId="0" fontId="10" fillId="0" borderId="0" xfId="0" applyFont="1" applyBorder="1" applyAlignment="1">
      <alignment horizontal="center"/>
    </xf>
    <xf numFmtId="10" fontId="9" fillId="0" borderId="0" xfId="2" applyNumberFormat="1" applyFont="1" applyBorder="1" applyAlignment="1">
      <alignment horizontal="right"/>
    </xf>
    <xf numFmtId="165" fontId="19" fillId="0" borderId="14" xfId="14" applyNumberFormat="1" applyFont="1" applyBorder="1" applyAlignment="1">
      <alignment horizontal="right"/>
    </xf>
    <xf numFmtId="165" fontId="19" fillId="0" borderId="14" xfId="14" applyNumberFormat="1" applyFont="1" applyBorder="1" applyAlignment="1">
      <alignment horizontal="right" vertical="center"/>
    </xf>
    <xf numFmtId="165" fontId="19" fillId="2" borderId="14" xfId="0" applyNumberFormat="1" applyFont="1" applyFill="1" applyBorder="1" applyAlignment="1">
      <alignment horizontal="right" vertical="center" wrapText="1"/>
    </xf>
    <xf numFmtId="9" fontId="10" fillId="2" borderId="0" xfId="2" applyFont="1" applyFill="1" applyBorder="1"/>
    <xf numFmtId="0" fontId="20" fillId="0" borderId="0" xfId="1" applyFont="1" applyBorder="1"/>
    <xf numFmtId="0" fontId="20" fillId="0" borderId="0" xfId="1" applyFont="1" applyAlignment="1">
      <alignment horizontal="left" vertical="center"/>
    </xf>
    <xf numFmtId="0" fontId="20" fillId="0" borderId="0" xfId="1" applyFont="1" applyBorder="1" applyAlignment="1">
      <alignment horizontal="left" vertical="center"/>
    </xf>
    <xf numFmtId="166" fontId="19" fillId="0" borderId="14" xfId="6" applyNumberFormat="1" applyFont="1" applyBorder="1"/>
    <xf numFmtId="164" fontId="10" fillId="0" borderId="14" xfId="14" applyNumberFormat="1" applyFont="1" applyBorder="1" applyAlignment="1">
      <alignment vertical="center" wrapText="1"/>
    </xf>
    <xf numFmtId="164" fontId="10" fillId="2" borderId="14" xfId="0" applyNumberFormat="1" applyFont="1" applyFill="1" applyBorder="1" applyAlignment="1">
      <alignment vertical="center" wrapText="1"/>
    </xf>
    <xf numFmtId="165" fontId="19" fillId="2" borderId="14" xfId="0" applyNumberFormat="1" applyFont="1" applyFill="1" applyBorder="1" applyAlignment="1">
      <alignment horizontal="center" vertical="center"/>
    </xf>
    <xf numFmtId="9" fontId="10" fillId="0" borderId="0" xfId="2" applyFont="1" applyAlignment="1">
      <alignment vertical="center" wrapText="1"/>
    </xf>
    <xf numFmtId="10" fontId="10" fillId="0" borderId="0" xfId="2" applyNumberFormat="1" applyFont="1" applyAlignment="1">
      <alignment horizontal="right" vertical="center" wrapText="1"/>
    </xf>
    <xf numFmtId="0" fontId="24" fillId="4" borderId="14" xfId="0" applyFont="1" applyFill="1" applyBorder="1"/>
    <xf numFmtId="0" fontId="24" fillId="4" borderId="14" xfId="0" applyFont="1" applyFill="1" applyBorder="1" applyAlignment="1">
      <alignment horizontal="center" wrapText="1"/>
    </xf>
    <xf numFmtId="0" fontId="24" fillId="4" borderId="14" xfId="0" applyFont="1" applyFill="1" applyBorder="1" applyAlignment="1">
      <alignment horizontal="center" vertical="center" wrapText="1"/>
    </xf>
    <xf numFmtId="0" fontId="26" fillId="2" borderId="14" xfId="0" applyFont="1" applyFill="1" applyBorder="1"/>
    <xf numFmtId="0" fontId="19" fillId="2" borderId="14" xfId="0" applyFont="1" applyFill="1" applyBorder="1"/>
    <xf numFmtId="0" fontId="26" fillId="2" borderId="0" xfId="0" applyFont="1" applyFill="1" applyBorder="1"/>
    <xf numFmtId="5" fontId="26" fillId="2" borderId="0" xfId="10" applyNumberFormat="1" applyFont="1" applyFill="1" applyBorder="1"/>
    <xf numFmtId="0" fontId="24" fillId="4" borderId="24" xfId="0" applyFont="1" applyFill="1" applyBorder="1"/>
    <xf numFmtId="0" fontId="24" fillId="4" borderId="24" xfId="0" applyFont="1" applyFill="1" applyBorder="1" applyAlignment="1">
      <alignment horizontal="center" wrapText="1"/>
    </xf>
    <xf numFmtId="5" fontId="19" fillId="2" borderId="14" xfId="10" applyNumberFormat="1" applyFont="1" applyFill="1" applyBorder="1"/>
    <xf numFmtId="1" fontId="10" fillId="0" borderId="14" xfId="0" applyNumberFormat="1" applyFont="1" applyBorder="1"/>
    <xf numFmtId="0" fontId="11" fillId="2" borderId="14" xfId="0" applyFont="1" applyFill="1" applyBorder="1"/>
    <xf numFmtId="0" fontId="12" fillId="53" borderId="14" xfId="0" applyFont="1" applyFill="1" applyBorder="1" applyAlignment="1">
      <alignment horizontal="center" vertical="center"/>
    </xf>
    <xf numFmtId="9" fontId="9" fillId="54" borderId="14" xfId="2" applyFont="1" applyFill="1" applyBorder="1" applyAlignment="1">
      <alignment vertical="center" wrapText="1"/>
    </xf>
    <xf numFmtId="0" fontId="8" fillId="2" borderId="10" xfId="1" applyFill="1" applyBorder="1"/>
    <xf numFmtId="0" fontId="11" fillId="0" borderId="0" xfId="0" applyFont="1"/>
    <xf numFmtId="0" fontId="13" fillId="0" borderId="0" xfId="0" applyFont="1" applyBorder="1"/>
    <xf numFmtId="0" fontId="11" fillId="0" borderId="0" xfId="0" applyFont="1" applyBorder="1" applyAlignment="1">
      <alignment horizontal="left" vertical="center"/>
    </xf>
    <xf numFmtId="0" fontId="9" fillId="54" borderId="14" xfId="0" applyFont="1" applyFill="1" applyBorder="1" applyAlignment="1">
      <alignment vertical="center" wrapText="1"/>
    </xf>
    <xf numFmtId="0" fontId="9" fillId="54" borderId="15" xfId="0" applyFont="1" applyFill="1" applyBorder="1" applyAlignment="1">
      <alignment vertical="center" wrapText="1"/>
    </xf>
    <xf numFmtId="0" fontId="10" fillId="2" borderId="0" xfId="0" applyFont="1" applyFill="1" applyBorder="1" applyAlignment="1">
      <alignment horizontal="left" vertical="center" wrapText="1"/>
    </xf>
    <xf numFmtId="10" fontId="11" fillId="2" borderId="0" xfId="2" applyNumberFormat="1" applyFont="1" applyFill="1" applyBorder="1" applyAlignment="1">
      <alignment horizontal="center" vertical="center"/>
    </xf>
    <xf numFmtId="0" fontId="9" fillId="55" borderId="14" xfId="0" applyFont="1" applyFill="1" applyBorder="1" applyAlignment="1">
      <alignment vertical="center" wrapText="1"/>
    </xf>
    <xf numFmtId="1" fontId="9" fillId="2" borderId="14" xfId="0" applyNumberFormat="1" applyFont="1" applyFill="1" applyBorder="1" applyAlignment="1">
      <alignment vertical="center" wrapText="1"/>
    </xf>
    <xf numFmtId="0" fontId="34" fillId="2" borderId="0" xfId="0" applyFont="1" applyFill="1" applyAlignment="1">
      <alignment vertical="center"/>
    </xf>
    <xf numFmtId="0" fontId="9" fillId="0" borderId="14" xfId="0" applyFont="1" applyBorder="1" applyAlignment="1">
      <alignment horizontal="center" vertical="center" wrapText="1"/>
    </xf>
    <xf numFmtId="9" fontId="9" fillId="0" borderId="14" xfId="2" applyFont="1" applyBorder="1" applyAlignment="1">
      <alignment horizontal="center" vertical="center" wrapText="1"/>
    </xf>
    <xf numFmtId="3" fontId="9" fillId="2" borderId="0" xfId="0" applyNumberFormat="1" applyFont="1" applyFill="1" applyBorder="1" applyAlignment="1">
      <alignment horizontal="center" vertical="center" wrapText="1"/>
    </xf>
    <xf numFmtId="9" fontId="9" fillId="2" borderId="0" xfId="2" applyFont="1" applyFill="1" applyBorder="1" applyAlignment="1">
      <alignment horizontal="center" vertical="center"/>
    </xf>
    <xf numFmtId="0" fontId="12" fillId="2" borderId="0" xfId="0" applyFont="1" applyFill="1" applyBorder="1" applyAlignment="1">
      <alignment horizontal="center" vertical="center"/>
    </xf>
    <xf numFmtId="0" fontId="12" fillId="10" borderId="0" xfId="0" applyFont="1" applyFill="1" applyAlignment="1">
      <alignment horizontal="left" vertical="center"/>
    </xf>
    <xf numFmtId="0" fontId="12" fillId="53" borderId="14" xfId="0" applyFont="1" applyFill="1" applyBorder="1" applyAlignment="1">
      <alignment horizontal="center" vertical="center" wrapText="1"/>
    </xf>
    <xf numFmtId="1" fontId="10" fillId="2" borderId="14" xfId="0" applyNumberFormat="1" applyFont="1" applyFill="1" applyBorder="1" applyAlignment="1">
      <alignment wrapText="1"/>
    </xf>
    <xf numFmtId="9" fontId="10" fillId="2" borderId="14" xfId="2" applyFont="1" applyFill="1" applyBorder="1" applyAlignment="1">
      <alignment horizontal="center" wrapText="1"/>
    </xf>
    <xf numFmtId="1" fontId="19" fillId="2" borderId="14" xfId="0" applyNumberFormat="1" applyFont="1" applyFill="1" applyBorder="1" applyAlignment="1">
      <alignment vertical="center" wrapText="1"/>
    </xf>
    <xf numFmtId="1" fontId="9" fillId="55" borderId="14" xfId="0" applyNumberFormat="1" applyFont="1" applyFill="1" applyBorder="1" applyAlignment="1">
      <alignment vertical="center" wrapText="1"/>
    </xf>
    <xf numFmtId="0" fontId="10" fillId="2" borderId="14" xfId="0" applyFont="1" applyFill="1" applyBorder="1" applyAlignment="1">
      <alignment wrapText="1"/>
    </xf>
    <xf numFmtId="9" fontId="10" fillId="0" borderId="29" xfId="2" applyFont="1" applyBorder="1" applyAlignment="1">
      <alignment vertical="center" wrapText="1"/>
    </xf>
    <xf numFmtId="9" fontId="19" fillId="0" borderId="14" xfId="2" applyFont="1" applyBorder="1" applyAlignment="1">
      <alignment horizontal="right"/>
    </xf>
    <xf numFmtId="170" fontId="19" fillId="2" borderId="14" xfId="12" applyNumberFormat="1" applyFont="1" applyFill="1" applyBorder="1" applyAlignment="1">
      <alignment horizontal="center" wrapText="1"/>
    </xf>
    <xf numFmtId="168" fontId="9" fillId="9" borderId="14" xfId="12" applyNumberFormat="1" applyFont="1" applyFill="1" applyBorder="1" applyAlignment="1">
      <alignment horizontal="center" vertical="center" wrapText="1"/>
    </xf>
    <xf numFmtId="3" fontId="10" fillId="0" borderId="14" xfId="2" applyNumberFormat="1" applyFont="1" applyBorder="1"/>
    <xf numFmtId="3" fontId="9" fillId="0" borderId="0" xfId="0" applyNumberFormat="1" applyFont="1" applyFill="1" applyBorder="1" applyAlignment="1">
      <alignment horizontal="center" vertical="center"/>
    </xf>
    <xf numFmtId="3" fontId="9" fillId="0" borderId="14" xfId="0" applyNumberFormat="1" applyFont="1" applyBorder="1" applyAlignment="1">
      <alignment horizontal="center"/>
    </xf>
    <xf numFmtId="10" fontId="10" fillId="2" borderId="0" xfId="0" applyNumberFormat="1" applyFont="1" applyFill="1" applyBorder="1" applyAlignment="1">
      <alignment horizontal="center" vertical="center"/>
    </xf>
    <xf numFmtId="166" fontId="10" fillId="2" borderId="0" xfId="6" applyNumberFormat="1" applyFont="1" applyFill="1" applyBorder="1"/>
    <xf numFmtId="3" fontId="19" fillId="0" borderId="14" xfId="23" applyFont="1" applyFill="1" applyBorder="1" applyAlignment="1">
      <alignment horizontal="right"/>
    </xf>
    <xf numFmtId="9" fontId="19" fillId="0" borderId="14" xfId="2" applyFont="1" applyFill="1" applyBorder="1" applyAlignment="1">
      <alignment horizontal="right"/>
    </xf>
    <xf numFmtId="169" fontId="19" fillId="0" borderId="14" xfId="23" applyNumberFormat="1" applyFont="1" applyFill="1" applyBorder="1" applyAlignment="1">
      <alignment horizontal="right"/>
    </xf>
    <xf numFmtId="165" fontId="19" fillId="2" borderId="22" xfId="0" applyNumberFormat="1" applyFont="1" applyFill="1" applyBorder="1" applyAlignment="1">
      <alignment horizontal="center" vertical="center"/>
    </xf>
    <xf numFmtId="168" fontId="19" fillId="2" borderId="24" xfId="0" applyNumberFormat="1" applyFont="1" applyFill="1" applyBorder="1" applyAlignment="1">
      <alignment horizontal="center" vertical="center"/>
    </xf>
    <xf numFmtId="168" fontId="19" fillId="2" borderId="14" xfId="0" applyNumberFormat="1" applyFont="1" applyFill="1" applyBorder="1" applyAlignment="1">
      <alignment horizontal="center" vertical="center"/>
    </xf>
    <xf numFmtId="9" fontId="11" fillId="2" borderId="0" xfId="2" applyFont="1" applyFill="1" applyAlignment="1">
      <alignment horizontal="left" vertical="center" wrapText="1"/>
    </xf>
    <xf numFmtId="1" fontId="10" fillId="54" borderId="0" xfId="0" applyNumberFormat="1" applyFont="1" applyFill="1" applyAlignment="1">
      <alignment horizontal="center"/>
    </xf>
    <xf numFmtId="0" fontId="10" fillId="58" borderId="0" xfId="0" applyFont="1" applyFill="1" applyAlignment="1">
      <alignment horizontal="center"/>
    </xf>
    <xf numFmtId="0" fontId="9" fillId="2" borderId="0" xfId="0" applyFont="1" applyFill="1" applyAlignment="1">
      <alignment vertical="center"/>
    </xf>
    <xf numFmtId="9" fontId="10" fillId="2" borderId="0" xfId="2" applyFont="1" applyFill="1"/>
    <xf numFmtId="0" fontId="12" fillId="10" borderId="0" xfId="0" applyFont="1" applyFill="1"/>
    <xf numFmtId="0" fontId="10" fillId="52" borderId="14" xfId="0" applyFont="1" applyFill="1" applyBorder="1" applyAlignment="1">
      <alignment horizontal="left"/>
    </xf>
    <xf numFmtId="9" fontId="0" fillId="0" borderId="14" xfId="2" applyFont="1" applyBorder="1" applyAlignment="1" applyProtection="1">
      <alignment vertical="top"/>
      <protection locked="0"/>
    </xf>
    <xf numFmtId="169" fontId="10" fillId="0" borderId="0" xfId="0" applyNumberFormat="1" applyFont="1"/>
    <xf numFmtId="0" fontId="26" fillId="0" borderId="3" xfId="0" applyFont="1" applyFill="1" applyBorder="1"/>
    <xf numFmtId="0" fontId="12" fillId="4" borderId="1" xfId="0" applyFont="1" applyFill="1" applyBorder="1" applyAlignment="1">
      <alignment horizontal="center" vertical="center" wrapText="1"/>
    </xf>
    <xf numFmtId="0" fontId="12" fillId="4" borderId="3" xfId="0" applyFont="1" applyFill="1" applyBorder="1" applyAlignment="1">
      <alignment horizontal="center" vertical="center" wrapText="1"/>
    </xf>
    <xf numFmtId="0" fontId="12" fillId="4" borderId="7" xfId="0" applyFont="1" applyFill="1" applyBorder="1" applyAlignment="1">
      <alignment horizontal="left" vertical="center" wrapText="1"/>
    </xf>
    <xf numFmtId="0" fontId="13" fillId="0" borderId="0" xfId="0" applyFont="1"/>
    <xf numFmtId="0" fontId="10" fillId="0" borderId="0" xfId="0" applyFont="1"/>
    <xf numFmtId="0" fontId="10" fillId="2" borderId="0" xfId="0" applyFont="1" applyFill="1"/>
    <xf numFmtId="0" fontId="10" fillId="2" borderId="0" xfId="0" applyFont="1" applyFill="1" applyAlignment="1">
      <alignment horizontal="right"/>
    </xf>
    <xf numFmtId="1" fontId="10" fillId="2" borderId="0" xfId="0" applyNumberFormat="1" applyFont="1" applyFill="1"/>
    <xf numFmtId="0" fontId="13" fillId="2" borderId="0" xfId="0" applyFont="1" applyFill="1" applyAlignment="1">
      <alignment horizontal="right"/>
    </xf>
    <xf numFmtId="0" fontId="24" fillId="4" borderId="0" xfId="0" applyFont="1" applyFill="1"/>
    <xf numFmtId="0" fontId="10" fillId="0" borderId="14" xfId="0" applyFont="1" applyBorder="1"/>
    <xf numFmtId="9" fontId="10" fillId="59" borderId="14" xfId="0" applyNumberFormat="1" applyFont="1" applyFill="1" applyBorder="1"/>
    <xf numFmtId="9" fontId="10" fillId="0" borderId="14" xfId="0" applyNumberFormat="1" applyFont="1" applyBorder="1"/>
    <xf numFmtId="9" fontId="10" fillId="2" borderId="0" xfId="0" applyNumberFormat="1" applyFont="1" applyFill="1"/>
    <xf numFmtId="0" fontId="10" fillId="2" borderId="14" xfId="0" applyFont="1" applyFill="1" applyBorder="1"/>
    <xf numFmtId="1" fontId="10" fillId="2" borderId="14" xfId="0" applyNumberFormat="1" applyFont="1" applyFill="1" applyBorder="1"/>
    <xf numFmtId="10" fontId="10" fillId="0" borderId="0" xfId="0" applyNumberFormat="1" applyFont="1"/>
    <xf numFmtId="9" fontId="10" fillId="2" borderId="14" xfId="0" applyNumberFormat="1" applyFont="1" applyFill="1" applyBorder="1"/>
    <xf numFmtId="9" fontId="10" fillId="0" borderId="0" xfId="0" applyNumberFormat="1" applyFont="1"/>
    <xf numFmtId="0" fontId="10" fillId="0" borderId="0" xfId="0" applyFont="1" applyAlignment="1">
      <alignment horizontal="right"/>
    </xf>
    <xf numFmtId="1" fontId="10" fillId="0" borderId="14" xfId="0" applyNumberFormat="1" applyFont="1" applyBorder="1"/>
    <xf numFmtId="165" fontId="19" fillId="2" borderId="14" xfId="0" applyNumberFormat="1" applyFont="1" applyFill="1" applyBorder="1"/>
    <xf numFmtId="165" fontId="19" fillId="0" borderId="14" xfId="0" applyNumberFormat="1" applyFont="1" applyBorder="1"/>
    <xf numFmtId="165" fontId="10" fillId="0" borderId="14" xfId="0" applyNumberFormat="1" applyFont="1" applyBorder="1"/>
    <xf numFmtId="0" fontId="10" fillId="5" borderId="14" xfId="0" applyFont="1" applyFill="1" applyBorder="1"/>
    <xf numFmtId="0" fontId="26" fillId="5" borderId="14" xfId="0" applyFont="1" applyFill="1" applyBorder="1"/>
    <xf numFmtId="165" fontId="10" fillId="2" borderId="14" xfId="0" applyNumberFormat="1" applyFont="1" applyFill="1" applyBorder="1"/>
    <xf numFmtId="0" fontId="13" fillId="0" borderId="14" xfId="0" applyFont="1" applyBorder="1"/>
    <xf numFmtId="167" fontId="10" fillId="2" borderId="14" xfId="0" applyNumberFormat="1" applyFont="1" applyFill="1" applyBorder="1"/>
    <xf numFmtId="167" fontId="10" fillId="59" borderId="14" xfId="0" applyNumberFormat="1" applyFont="1" applyFill="1" applyBorder="1"/>
    <xf numFmtId="0" fontId="24" fillId="4" borderId="14" xfId="0" applyFont="1" applyFill="1" applyBorder="1" applyAlignment="1">
      <alignment horizontal="center"/>
    </xf>
    <xf numFmtId="9" fontId="10" fillId="0" borderId="14" xfId="0" applyNumberFormat="1" applyFont="1" applyBorder="1" applyAlignment="1">
      <alignment horizontal="center" vertical="center" wrapText="1"/>
    </xf>
    <xf numFmtId="9" fontId="10" fillId="2" borderId="14" xfId="0" applyNumberFormat="1" applyFont="1" applyFill="1" applyBorder="1" applyAlignment="1">
      <alignment horizontal="center" vertical="center" wrapText="1"/>
    </xf>
    <xf numFmtId="9" fontId="10" fillId="52" borderId="14" xfId="0" applyNumberFormat="1" applyFont="1" applyFill="1" applyBorder="1" applyAlignment="1">
      <alignment horizontal="center" vertical="center" wrapText="1"/>
    </xf>
    <xf numFmtId="0" fontId="13" fillId="0" borderId="0" xfId="0" applyFont="1" applyFill="1"/>
    <xf numFmtId="0" fontId="10" fillId="0" borderId="0" xfId="0" applyFont="1" applyFill="1"/>
    <xf numFmtId="165" fontId="10" fillId="61" borderId="22" xfId="0" applyNumberFormat="1" applyFont="1" applyFill="1" applyBorder="1" applyAlignment="1">
      <alignment horizontal="center"/>
    </xf>
    <xf numFmtId="165" fontId="10" fillId="61" borderId="9" xfId="0" applyNumberFormat="1" applyFont="1" applyFill="1" applyBorder="1" applyAlignment="1">
      <alignment horizontal="center"/>
    </xf>
    <xf numFmtId="165" fontId="10" fillId="61" borderId="23" xfId="0" applyNumberFormat="1" applyFont="1" applyFill="1" applyBorder="1" applyAlignment="1">
      <alignment horizontal="center"/>
    </xf>
    <xf numFmtId="165" fontId="10" fillId="62" borderId="14" xfId="0" applyNumberFormat="1" applyFont="1" applyFill="1" applyBorder="1"/>
    <xf numFmtId="0" fontId="24" fillId="4" borderId="14" xfId="0" applyFont="1" applyFill="1" applyBorder="1" applyAlignment="1">
      <alignment horizontal="center" vertical="center"/>
    </xf>
    <xf numFmtId="0" fontId="24" fillId="60" borderId="14" xfId="0" applyFont="1" applyFill="1" applyBorder="1" applyAlignment="1">
      <alignment horizontal="center" vertical="center"/>
    </xf>
    <xf numFmtId="0" fontId="10" fillId="61" borderId="22" xfId="0" applyFont="1" applyFill="1" applyBorder="1" applyAlignment="1">
      <alignment horizontal="center"/>
    </xf>
    <xf numFmtId="0" fontId="10" fillId="61" borderId="9" xfId="0" applyFont="1" applyFill="1" applyBorder="1" applyAlignment="1">
      <alignment horizontal="center"/>
    </xf>
    <xf numFmtId="0" fontId="10" fillId="61" borderId="23" xfId="0" applyFont="1" applyFill="1" applyBorder="1" applyAlignment="1">
      <alignment horizontal="center"/>
    </xf>
    <xf numFmtId="0" fontId="13" fillId="59" borderId="0" xfId="0" applyFont="1" applyFill="1"/>
    <xf numFmtId="0" fontId="12" fillId="53" borderId="14" xfId="0" applyFont="1" applyFill="1" applyBorder="1" applyAlignment="1">
      <alignment horizontal="center" vertical="center"/>
    </xf>
    <xf numFmtId="166" fontId="9" fillId="54" borderId="15" xfId="6" applyNumberFormat="1" applyFont="1" applyFill="1" applyBorder="1" applyAlignment="1">
      <alignment vertical="center" wrapText="1"/>
    </xf>
    <xf numFmtId="0" fontId="12" fillId="4" borderId="14" xfId="0" applyFont="1" applyFill="1" applyBorder="1" applyAlignment="1">
      <alignment horizontal="center" vertical="center"/>
    </xf>
    <xf numFmtId="10" fontId="11" fillId="2" borderId="0" xfId="0" applyNumberFormat="1" applyFont="1" applyFill="1" applyAlignment="1">
      <alignment horizontal="left"/>
    </xf>
    <xf numFmtId="10" fontId="10" fillId="0" borderId="14" xfId="14" applyNumberFormat="1" applyFont="1" applyBorder="1" applyAlignment="1">
      <alignment vertical="center" wrapText="1"/>
    </xf>
    <xf numFmtId="0" fontId="19" fillId="5" borderId="14" xfId="0" applyFont="1" applyFill="1" applyBorder="1" applyAlignment="1">
      <alignment horizontal="center" vertical="center"/>
    </xf>
    <xf numFmtId="0" fontId="19" fillId="52" borderId="14" xfId="0" applyFont="1" applyFill="1" applyBorder="1" applyAlignment="1">
      <alignment wrapText="1"/>
    </xf>
    <xf numFmtId="167" fontId="26" fillId="0" borderId="14" xfId="0" applyNumberFormat="1" applyFont="1" applyBorder="1"/>
    <xf numFmtId="0" fontId="38" fillId="57" borderId="14" xfId="0" applyFont="1" applyFill="1" applyBorder="1" applyAlignment="1">
      <alignment horizontal="left" vertical="center"/>
    </xf>
    <xf numFmtId="10" fontId="12" fillId="4" borderId="24" xfId="0" applyNumberFormat="1" applyFont="1" applyFill="1" applyBorder="1" applyAlignment="1">
      <alignment horizontal="center" vertical="center" wrapText="1"/>
    </xf>
    <xf numFmtId="9" fontId="19" fillId="0" borderId="14" xfId="2" applyNumberFormat="1" applyFont="1" applyBorder="1" applyAlignment="1">
      <alignment horizontal="center" vertical="center"/>
    </xf>
    <xf numFmtId="165" fontId="19" fillId="2" borderId="40" xfId="0" applyNumberFormat="1" applyFont="1" applyFill="1" applyBorder="1" applyAlignment="1">
      <alignment horizontal="center" vertical="center"/>
    </xf>
    <xf numFmtId="165" fontId="19" fillId="2" borderId="23" xfId="0" applyNumberFormat="1" applyFont="1" applyFill="1" applyBorder="1" applyAlignment="1">
      <alignment horizontal="center" vertical="center"/>
    </xf>
    <xf numFmtId="0" fontId="19" fillId="2" borderId="0" xfId="0" applyFont="1" applyFill="1" applyBorder="1"/>
    <xf numFmtId="5" fontId="19" fillId="2" borderId="0" xfId="10" applyNumberFormat="1" applyFont="1" applyFill="1" applyBorder="1"/>
    <xf numFmtId="0" fontId="12" fillId="53" borderId="14" xfId="0" applyFont="1" applyFill="1" applyBorder="1" applyAlignment="1">
      <alignment horizontal="left" vertical="top" wrapText="1"/>
    </xf>
    <xf numFmtId="0" fontId="12" fillId="53" borderId="14" xfId="0" applyFont="1" applyFill="1" applyBorder="1" applyAlignment="1">
      <alignment horizontal="center" vertical="top" wrapText="1"/>
    </xf>
    <xf numFmtId="9" fontId="12" fillId="53" borderId="14" xfId="0" applyNumberFormat="1" applyFont="1" applyFill="1" applyBorder="1" applyAlignment="1">
      <alignment horizontal="center" vertical="top"/>
    </xf>
    <xf numFmtId="0" fontId="10" fillId="55" borderId="14" xfId="0" applyFont="1" applyFill="1" applyBorder="1"/>
    <xf numFmtId="0" fontId="13" fillId="55" borderId="14" xfId="0" applyFont="1" applyFill="1" applyBorder="1"/>
    <xf numFmtId="9" fontId="13" fillId="0" borderId="14" xfId="0" applyNumberFormat="1" applyFont="1" applyBorder="1"/>
    <xf numFmtId="0" fontId="24" fillId="4" borderId="14" xfId="0" applyFont="1" applyFill="1" applyBorder="1" applyAlignment="1">
      <alignment horizontal="center" vertical="top"/>
    </xf>
    <xf numFmtId="0" fontId="12" fillId="4" borderId="14" xfId="0" applyFont="1" applyFill="1" applyBorder="1" applyAlignment="1">
      <alignment horizontal="center" vertical="top"/>
    </xf>
    <xf numFmtId="0" fontId="26" fillId="5" borderId="14" xfId="0" applyFont="1" applyFill="1" applyBorder="1" applyAlignment="1">
      <alignment horizontal="center" vertical="center"/>
    </xf>
    <xf numFmtId="0" fontId="4" fillId="5" borderId="14" xfId="0" applyFont="1" applyFill="1" applyBorder="1" applyAlignment="1">
      <alignment horizontal="center" vertical="center"/>
    </xf>
    <xf numFmtId="0" fontId="19" fillId="5" borderId="14" xfId="0" applyFont="1" applyFill="1" applyBorder="1" applyAlignment="1">
      <alignment horizontal="center" vertical="center" wrapText="1"/>
    </xf>
    <xf numFmtId="0" fontId="20" fillId="2" borderId="0" xfId="1" applyFont="1" applyFill="1" applyAlignment="1">
      <alignment horizontal="left"/>
    </xf>
    <xf numFmtId="0" fontId="26" fillId="2" borderId="0" xfId="1" applyFont="1" applyFill="1" applyAlignment="1">
      <alignment horizontal="left"/>
    </xf>
    <xf numFmtId="9" fontId="13" fillId="0" borderId="0" xfId="0" applyNumberFormat="1" applyFont="1" applyBorder="1"/>
    <xf numFmtId="0" fontId="13" fillId="2" borderId="0" xfId="0" applyFont="1" applyFill="1" applyBorder="1"/>
    <xf numFmtId="168" fontId="10" fillId="0" borderId="14" xfId="0" applyNumberFormat="1" applyFont="1" applyBorder="1"/>
    <xf numFmtId="0" fontId="12" fillId="4" borderId="14" xfId="0" applyFont="1" applyFill="1" applyBorder="1" applyAlignment="1">
      <alignment horizontal="center" vertical="top" wrapText="1"/>
    </xf>
    <xf numFmtId="164" fontId="10" fillId="0" borderId="14" xfId="0" applyNumberFormat="1" applyFont="1" applyBorder="1"/>
    <xf numFmtId="165" fontId="9" fillId="0" borderId="14" xfId="0" applyNumberFormat="1" applyFont="1" applyBorder="1" applyAlignment="1">
      <alignment horizontal="center" vertical="center"/>
    </xf>
    <xf numFmtId="10" fontId="10" fillId="2" borderId="0" xfId="2" applyNumberFormat="1" applyFont="1" applyFill="1"/>
    <xf numFmtId="0" fontId="89" fillId="2" borderId="0" xfId="0" applyFont="1" applyFill="1"/>
    <xf numFmtId="0" fontId="12" fillId="4" borderId="14" xfId="0" applyFont="1" applyFill="1" applyBorder="1" applyAlignment="1">
      <alignment horizontal="center"/>
    </xf>
    <xf numFmtId="0" fontId="12" fillId="4" borderId="14" xfId="0" applyFont="1" applyFill="1" applyBorder="1" applyAlignment="1">
      <alignment horizontal="center" vertical="center"/>
    </xf>
    <xf numFmtId="0" fontId="90" fillId="5" borderId="14" xfId="1" applyFont="1" applyFill="1" applyBorder="1" applyAlignment="1">
      <alignment horizontal="center"/>
    </xf>
    <xf numFmtId="9" fontId="10" fillId="59" borderId="14" xfId="2" applyFont="1" applyFill="1" applyBorder="1"/>
    <xf numFmtId="9" fontId="10" fillId="2" borderId="14" xfId="2" applyFont="1" applyFill="1" applyBorder="1"/>
    <xf numFmtId="0" fontId="12" fillId="4" borderId="0" xfId="0" applyFont="1" applyFill="1" applyAlignment="1">
      <alignment horizontal="center"/>
    </xf>
    <xf numFmtId="0" fontId="10" fillId="59" borderId="0" xfId="0" applyFont="1" applyFill="1"/>
    <xf numFmtId="9" fontId="10" fillId="2" borderId="14" xfId="0" applyNumberFormat="1" applyFont="1" applyFill="1" applyBorder="1" applyAlignment="1">
      <alignment horizontal="center" vertical="center"/>
    </xf>
    <xf numFmtId="0" fontId="8" fillId="6" borderId="1" xfId="1" applyFill="1" applyBorder="1" applyAlignment="1">
      <alignment horizontal="center" vertical="center" wrapText="1"/>
    </xf>
    <xf numFmtId="0" fontId="7" fillId="4" borderId="14" xfId="0" applyFont="1" applyFill="1" applyBorder="1" applyAlignment="1">
      <alignment horizontal="center" vertical="center"/>
    </xf>
    <xf numFmtId="0" fontId="11" fillId="2" borderId="0" xfId="0" applyFont="1" applyFill="1" applyAlignment="1">
      <alignment horizontal="left"/>
    </xf>
    <xf numFmtId="0" fontId="12" fillId="4" borderId="14" xfId="0" applyFont="1" applyFill="1" applyBorder="1" applyAlignment="1">
      <alignment horizontal="center" vertical="center"/>
    </xf>
    <xf numFmtId="0" fontId="4" fillId="2" borderId="14" xfId="0" applyFont="1" applyFill="1" applyBorder="1" applyAlignment="1">
      <alignment horizontal="left" vertical="center" wrapText="1"/>
    </xf>
    <xf numFmtId="0" fontId="19" fillId="2" borderId="14" xfId="0" applyFont="1" applyFill="1" applyBorder="1" applyAlignment="1">
      <alignment horizontal="left" vertical="center" wrapText="1"/>
    </xf>
    <xf numFmtId="9" fontId="10" fillId="0" borderId="14" xfId="0" applyNumberFormat="1" applyFont="1" applyFill="1" applyBorder="1" applyAlignment="1">
      <alignment horizontal="center"/>
    </xf>
    <xf numFmtId="9" fontId="20" fillId="2" borderId="0" xfId="2" applyFont="1" applyFill="1" applyBorder="1"/>
    <xf numFmtId="0" fontId="20" fillId="2" borderId="0" xfId="1" applyFont="1" applyFill="1" applyAlignment="1"/>
    <xf numFmtId="0" fontId="10" fillId="2" borderId="7" xfId="0" applyFont="1" applyFill="1" applyBorder="1"/>
    <xf numFmtId="0" fontId="10" fillId="2" borderId="2" xfId="0" applyFont="1" applyFill="1" applyBorder="1"/>
    <xf numFmtId="0" fontId="20" fillId="2" borderId="10" xfId="1" applyFont="1" applyFill="1" applyBorder="1" applyAlignment="1">
      <alignment horizontal="left"/>
    </xf>
    <xf numFmtId="0" fontId="20" fillId="2" borderId="0" xfId="1" applyFont="1" applyFill="1" applyBorder="1" applyAlignment="1">
      <alignment horizontal="left"/>
    </xf>
    <xf numFmtId="0" fontId="20" fillId="2" borderId="6" xfId="1" applyFont="1" applyFill="1" applyBorder="1"/>
    <xf numFmtId="0" fontId="19" fillId="2" borderId="0" xfId="0" applyFont="1" applyFill="1"/>
    <xf numFmtId="0" fontId="12" fillId="0" borderId="0" xfId="0" applyFont="1" applyFill="1"/>
    <xf numFmtId="0" fontId="89" fillId="0" borderId="0" xfId="0" applyFont="1" applyFill="1"/>
    <xf numFmtId="0" fontId="91" fillId="20" borderId="14" xfId="0" applyFont="1" applyFill="1" applyBorder="1" applyAlignment="1">
      <alignment horizontal="center" vertical="center" wrapText="1"/>
    </xf>
    <xf numFmtId="0" fontId="34" fillId="15" borderId="0" xfId="0" applyFont="1" applyFill="1"/>
    <xf numFmtId="9" fontId="34" fillId="0" borderId="0" xfId="0" applyNumberFormat="1" applyFont="1"/>
    <xf numFmtId="0" fontId="93" fillId="15" borderId="0" xfId="0" applyFont="1" applyFill="1"/>
    <xf numFmtId="3" fontId="93" fillId="15" borderId="0" xfId="0" applyNumberFormat="1" applyFont="1" applyFill="1"/>
    <xf numFmtId="0" fontId="92" fillId="15" borderId="0" xfId="0" applyFont="1" applyFill="1"/>
    <xf numFmtId="171" fontId="9" fillId="21" borderId="14" xfId="14" applyNumberFormat="1" applyFont="1" applyFill="1" applyBorder="1" applyAlignment="1">
      <alignment vertical="center" wrapText="1"/>
    </xf>
    <xf numFmtId="165" fontId="9" fillId="15" borderId="14" xfId="0" applyNumberFormat="1" applyFont="1" applyFill="1" applyBorder="1" applyAlignment="1">
      <alignment horizontal="center" vertical="center" wrapText="1"/>
    </xf>
    <xf numFmtId="171" fontId="9" fillId="15" borderId="14" xfId="14" applyNumberFormat="1" applyFont="1" applyFill="1" applyBorder="1" applyAlignment="1">
      <alignment vertical="center" wrapText="1"/>
    </xf>
    <xf numFmtId="9" fontId="9" fillId="15" borderId="14" xfId="2" applyFont="1" applyFill="1" applyBorder="1" applyAlignment="1">
      <alignment horizontal="center"/>
    </xf>
    <xf numFmtId="168" fontId="10" fillId="0" borderId="14" xfId="0" applyNumberFormat="1" applyFont="1" applyBorder="1" applyAlignment="1">
      <alignment horizontal="center"/>
    </xf>
    <xf numFmtId="0" fontId="93" fillId="0" borderId="0" xfId="0" applyFont="1"/>
    <xf numFmtId="9" fontId="9" fillId="0" borderId="14" xfId="2" applyFont="1" applyFill="1" applyBorder="1" applyAlignment="1">
      <alignment horizontal="center"/>
    </xf>
    <xf numFmtId="0" fontId="91" fillId="20" borderId="24" xfId="0" applyFont="1" applyFill="1" applyBorder="1" applyAlignment="1">
      <alignment horizontal="center" vertical="center" wrapText="1"/>
    </xf>
    <xf numFmtId="171" fontId="9" fillId="15" borderId="14" xfId="14" applyNumberFormat="1" applyFont="1" applyFill="1" applyBorder="1" applyAlignment="1">
      <alignment horizontal="center" vertical="center" wrapText="1"/>
    </xf>
    <xf numFmtId="9" fontId="9" fillId="15" borderId="14" xfId="2" applyFont="1" applyFill="1" applyBorder="1" applyAlignment="1">
      <alignment horizontal="center" vertical="center" wrapText="1"/>
    </xf>
    <xf numFmtId="9" fontId="9" fillId="0" borderId="0" xfId="2" applyFont="1" applyFill="1" applyBorder="1" applyAlignment="1">
      <alignment horizontal="center"/>
    </xf>
    <xf numFmtId="9" fontId="9" fillId="15" borderId="0" xfId="2" applyFont="1" applyFill="1" applyBorder="1" applyAlignment="1">
      <alignment horizontal="center" vertical="center" wrapText="1"/>
    </xf>
    <xf numFmtId="0" fontId="19" fillId="2" borderId="24"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19" fillId="2" borderId="28"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9" fillId="5" borderId="10" xfId="0" applyFont="1" applyFill="1" applyBorder="1" applyAlignment="1">
      <alignment horizontal="center" vertical="center" wrapText="1"/>
    </xf>
    <xf numFmtId="0" fontId="19" fillId="5" borderId="0" xfId="0" applyFont="1" applyFill="1" applyAlignment="1">
      <alignment horizontal="center" vertical="center" wrapText="1"/>
    </xf>
    <xf numFmtId="0" fontId="19" fillId="5" borderId="4" xfId="0" applyFont="1" applyFill="1" applyBorder="1" applyAlignment="1">
      <alignment horizontal="center" vertical="center" wrapText="1"/>
    </xf>
    <xf numFmtId="0" fontId="19" fillId="5" borderId="8" xfId="0" applyFont="1" applyFill="1" applyBorder="1" applyAlignment="1">
      <alignment horizontal="center" vertical="center" wrapText="1"/>
    </xf>
    <xf numFmtId="0" fontId="19" fillId="5" borderId="3"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19" fillId="2" borderId="50" xfId="0" applyFont="1" applyFill="1" applyBorder="1" applyAlignment="1">
      <alignment horizontal="center" vertical="center" wrapText="1"/>
    </xf>
    <xf numFmtId="3" fontId="11" fillId="57" borderId="39" xfId="0" applyNumberFormat="1" applyFont="1" applyFill="1" applyBorder="1" applyAlignment="1">
      <alignment horizontal="left" vertical="center"/>
    </xf>
    <xf numFmtId="3" fontId="11" fillId="57" borderId="0" xfId="0" applyNumberFormat="1" applyFont="1" applyFill="1" applyAlignment="1">
      <alignment horizontal="left" vertical="center"/>
    </xf>
    <xf numFmtId="0" fontId="10" fillId="58" borderId="0" xfId="0" applyFont="1" applyFill="1" applyAlignment="1">
      <alignment horizontal="center"/>
    </xf>
    <xf numFmtId="1" fontId="10" fillId="54" borderId="0" xfId="0" applyNumberFormat="1" applyFont="1" applyFill="1" applyAlignment="1">
      <alignment horizontal="center"/>
    </xf>
    <xf numFmtId="0" fontId="10" fillId="58" borderId="39" xfId="0" applyFont="1" applyFill="1" applyBorder="1" applyAlignment="1">
      <alignment horizontal="center"/>
    </xf>
    <xf numFmtId="9" fontId="10" fillId="54" borderId="39" xfId="0" applyNumberFormat="1" applyFont="1" applyFill="1" applyBorder="1" applyAlignment="1">
      <alignment horizontal="center"/>
    </xf>
    <xf numFmtId="9" fontId="10" fillId="54" borderId="0" xfId="0" applyNumberFormat="1" applyFont="1" applyFill="1" applyAlignment="1">
      <alignment horizontal="center"/>
    </xf>
    <xf numFmtId="0" fontId="12" fillId="4" borderId="22" xfId="0" applyFont="1" applyFill="1" applyBorder="1" applyAlignment="1">
      <alignment horizontal="center" vertical="center" wrapText="1"/>
    </xf>
    <xf numFmtId="0" fontId="19" fillId="5" borderId="22" xfId="0" applyFont="1" applyFill="1" applyBorder="1" applyAlignment="1">
      <alignment horizontal="center" vertical="center" wrapText="1"/>
    </xf>
    <xf numFmtId="3" fontId="11" fillId="56" borderId="39" xfId="0" applyNumberFormat="1" applyFont="1" applyFill="1" applyBorder="1" applyAlignment="1">
      <alignment horizontal="left" vertical="center"/>
    </xf>
    <xf numFmtId="3" fontId="11" fillId="56" borderId="0" xfId="0" applyNumberFormat="1" applyFont="1" applyFill="1" applyAlignment="1">
      <alignment horizontal="left" vertical="center"/>
    </xf>
    <xf numFmtId="0" fontId="88" fillId="0" borderId="0" xfId="4" applyFont="1" applyFill="1" applyAlignment="1" applyProtection="1">
      <alignment horizontal="left"/>
    </xf>
    <xf numFmtId="0" fontId="9" fillId="2" borderId="0" xfId="0" applyFont="1" applyFill="1" applyAlignment="1">
      <alignment vertical="center"/>
    </xf>
    <xf numFmtId="0" fontId="12" fillId="4" borderId="39" xfId="0" applyFont="1" applyFill="1" applyBorder="1" applyAlignment="1">
      <alignment horizontal="center" vertical="center"/>
    </xf>
    <xf numFmtId="0" fontId="12" fillId="4" borderId="0" xfId="0" applyFont="1" applyFill="1" applyBorder="1" applyAlignment="1">
      <alignment horizontal="center" vertical="center"/>
    </xf>
    <xf numFmtId="10" fontId="11" fillId="2" borderId="22" xfId="2" applyNumberFormat="1" applyFont="1" applyFill="1" applyBorder="1" applyAlignment="1">
      <alignment horizontal="center" vertical="center"/>
    </xf>
    <xf numFmtId="10" fontId="11" fillId="2" borderId="23" xfId="2" applyNumberFormat="1" applyFont="1" applyFill="1" applyBorder="1" applyAlignment="1">
      <alignment horizontal="center" vertical="center"/>
    </xf>
    <xf numFmtId="0" fontId="6" fillId="4" borderId="22"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6" fillId="4" borderId="23" xfId="0" applyFont="1" applyFill="1" applyBorder="1" applyAlignment="1">
      <alignment horizontal="center" vertical="center" wrapText="1"/>
    </xf>
    <xf numFmtId="0" fontId="5" fillId="5" borderId="22"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5" fillId="5" borderId="23" xfId="0" applyFont="1" applyFill="1" applyBorder="1" applyAlignment="1">
      <alignment horizontal="center" vertical="center" wrapText="1"/>
    </xf>
    <xf numFmtId="0" fontId="7" fillId="4" borderId="14" xfId="0" applyFont="1" applyFill="1" applyBorder="1" applyAlignment="1">
      <alignment horizontal="center" vertical="center"/>
    </xf>
    <xf numFmtId="0" fontId="10" fillId="0" borderId="5" xfId="0" applyFont="1" applyBorder="1" applyAlignment="1">
      <alignment vertical="center" wrapText="1"/>
    </xf>
    <xf numFmtId="0" fontId="10" fillId="0" borderId="23" xfId="0" applyFont="1" applyBorder="1" applyAlignment="1">
      <alignment vertical="center" wrapText="1"/>
    </xf>
    <xf numFmtId="0" fontId="10" fillId="0" borderId="23" xfId="0" applyFont="1" applyBorder="1" applyAlignment="1">
      <alignment horizontal="center" vertical="center"/>
    </xf>
    <xf numFmtId="0" fontId="19" fillId="2" borderId="22"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11" fillId="2" borderId="0" xfId="0" applyFont="1" applyFill="1" applyAlignment="1">
      <alignment horizontal="left"/>
    </xf>
    <xf numFmtId="0" fontId="7" fillId="2" borderId="0" xfId="0" applyFont="1" applyFill="1" applyAlignment="1">
      <alignment horizontal="center" vertical="center"/>
    </xf>
    <xf numFmtId="0" fontId="20" fillId="2" borderId="0" xfId="1" applyFont="1" applyFill="1" applyAlignment="1">
      <alignment horizontal="left"/>
    </xf>
    <xf numFmtId="0" fontId="48" fillId="20" borderId="22" xfId="0" applyFont="1" applyFill="1" applyBorder="1" applyAlignment="1">
      <alignment horizontal="center"/>
    </xf>
    <xf numFmtId="0" fontId="48" fillId="20" borderId="9" xfId="0" applyFont="1" applyFill="1" applyBorder="1" applyAlignment="1">
      <alignment horizontal="center"/>
    </xf>
    <xf numFmtId="0" fontId="48" fillId="20" borderId="23" xfId="0" applyFont="1" applyFill="1" applyBorder="1" applyAlignment="1">
      <alignment horizontal="center"/>
    </xf>
    <xf numFmtId="0" fontId="48" fillId="20" borderId="22" xfId="21" applyFont="1" applyFill="1" applyBorder="1" applyAlignment="1">
      <alignment horizontal="center"/>
    </xf>
    <xf numFmtId="0" fontId="48" fillId="20" borderId="9" xfId="21" applyFont="1" applyFill="1" applyBorder="1" applyAlignment="1">
      <alignment horizontal="center"/>
    </xf>
    <xf numFmtId="0" fontId="48" fillId="20" borderId="23" xfId="21" applyFont="1" applyFill="1" applyBorder="1" applyAlignment="1">
      <alignment horizontal="center"/>
    </xf>
    <xf numFmtId="0" fontId="10" fillId="0" borderId="0" xfId="0" applyFont="1" applyAlignment="1">
      <alignment horizontal="center"/>
    </xf>
    <xf numFmtId="0" fontId="12" fillId="4" borderId="14" xfId="0" applyFont="1" applyFill="1" applyBorder="1" applyAlignment="1">
      <alignment horizontal="center"/>
    </xf>
    <xf numFmtId="0" fontId="10" fillId="0" borderId="7" xfId="0" applyFont="1" applyBorder="1" applyAlignment="1">
      <alignment horizontal="center"/>
    </xf>
    <xf numFmtId="0" fontId="12" fillId="53" borderId="14" xfId="0" applyFont="1" applyFill="1" applyBorder="1" applyAlignment="1">
      <alignment horizontal="center" vertical="center"/>
    </xf>
    <xf numFmtId="0" fontId="24" fillId="4" borderId="22" xfId="0" applyFont="1" applyFill="1" applyBorder="1" applyAlignment="1">
      <alignment horizontal="center"/>
    </xf>
    <xf numFmtId="0" fontId="24" fillId="4" borderId="9" xfId="0" applyFont="1" applyFill="1" applyBorder="1" applyAlignment="1">
      <alignment horizontal="center"/>
    </xf>
    <xf numFmtId="0" fontId="24" fillId="4" borderId="23" xfId="0" applyFont="1" applyFill="1" applyBorder="1" applyAlignment="1">
      <alignment horizontal="center"/>
    </xf>
    <xf numFmtId="0" fontId="24" fillId="4" borderId="14" xfId="0" applyFont="1" applyFill="1" applyBorder="1" applyAlignment="1">
      <alignment horizontal="center"/>
    </xf>
    <xf numFmtId="0" fontId="10" fillId="61" borderId="22" xfId="0" applyFont="1" applyFill="1" applyBorder="1" applyAlignment="1">
      <alignment horizontal="center"/>
    </xf>
    <xf numFmtId="0" fontId="10" fillId="61" borderId="9" xfId="0" applyFont="1" applyFill="1" applyBorder="1" applyAlignment="1">
      <alignment horizontal="center"/>
    </xf>
    <xf numFmtId="0" fontId="10" fillId="61" borderId="23" xfId="0" applyFont="1" applyFill="1" applyBorder="1" applyAlignment="1">
      <alignment horizontal="center"/>
    </xf>
    <xf numFmtId="0" fontId="12" fillId="4" borderId="22" xfId="0" applyFont="1" applyFill="1" applyBorder="1" applyAlignment="1">
      <alignment horizontal="center"/>
    </xf>
    <xf numFmtId="0" fontId="12" fillId="4" borderId="23" xfId="0" applyFont="1" applyFill="1" applyBorder="1" applyAlignment="1">
      <alignment horizontal="center"/>
    </xf>
    <xf numFmtId="0" fontId="12" fillId="4" borderId="9" xfId="0" applyFont="1" applyFill="1" applyBorder="1" applyAlignment="1">
      <alignment horizontal="center"/>
    </xf>
    <xf numFmtId="0" fontId="12" fillId="4" borderId="14" xfId="0" applyFont="1" applyFill="1" applyBorder="1" applyAlignment="1">
      <alignment horizontal="center" vertical="center"/>
    </xf>
  </cellXfs>
  <cellStyles count="214">
    <cellStyle name="%" xfId="7" xr:uid="{EA0C4CA7-EC14-4D8F-A3C2-656F743D3D4B}"/>
    <cellStyle name="% 2" xfId="8" xr:uid="{ED1AF95B-D4D6-448C-8518-D84E32A07733}"/>
    <cellStyle name="20% - Accent1 2" xfId="86" xr:uid="{847B1D32-2D4A-45A2-A9D0-0119D1F58A04}"/>
    <cellStyle name="20% - Accent1 2 2" xfId="130" xr:uid="{62B6F020-48B3-45E8-9DE2-4CED9FD7B1F9}"/>
    <cellStyle name="20% - Accent1 3" xfId="100" xr:uid="{08C200BB-D31E-461F-9172-F56068FC8D68}"/>
    <cellStyle name="20% - Accent1 3 2" xfId="144" xr:uid="{FC04B543-4FBC-41DA-8E14-52113E0FCE27}"/>
    <cellStyle name="20% - Accent1 4" xfId="112" xr:uid="{8F7163B3-C5DC-43B8-B437-B3E1588757A8}"/>
    <cellStyle name="20% - Accent1 5" xfId="35" xr:uid="{2375DC20-3205-4EC0-9549-DE6C94C033DA}"/>
    <cellStyle name="20% - Accent1 6" xfId="158" xr:uid="{A2DFFC60-9E4F-4415-AF7C-B72352D3AA93}"/>
    <cellStyle name="20% - Accent2 2" xfId="88" xr:uid="{8CCE9773-063A-435A-A3D0-C02A44E1079D}"/>
    <cellStyle name="20% - Accent2 2 2" xfId="132" xr:uid="{82A4C83D-526C-4812-8A5D-B688858B0FC0}"/>
    <cellStyle name="20% - Accent2 3" xfId="102" xr:uid="{5793330C-9AF5-47E8-BEF0-72D14DAC607E}"/>
    <cellStyle name="20% - Accent2 3 2" xfId="146" xr:uid="{09167806-2C76-405A-984F-D50A2BDE8066}"/>
    <cellStyle name="20% - Accent2 4" xfId="113" xr:uid="{BDA9A569-6FDE-412C-AD20-542B4CE27CAB}"/>
    <cellStyle name="20% - Accent2 5" xfId="36" xr:uid="{BA9F201B-FE2E-42B3-AF8A-02EBC475BADE}"/>
    <cellStyle name="20% - Accent2 6" xfId="159" xr:uid="{C0E5E273-D3E4-465E-AB05-E349B38AF383}"/>
    <cellStyle name="20% - Accent3 2" xfId="90" xr:uid="{1056B8BB-51DC-43A3-9D12-BFA08635E564}"/>
    <cellStyle name="20% - Accent3 2 2" xfId="134" xr:uid="{467B5E11-8ABA-4623-8C61-6B49B3466D86}"/>
    <cellStyle name="20% - Accent3 3" xfId="104" xr:uid="{00B61C16-EC7D-4ECB-B2A0-CE08D9819FBB}"/>
    <cellStyle name="20% - Accent3 3 2" xfId="148" xr:uid="{1AD1F23B-383F-4B1A-A665-B9C17BAA8EAA}"/>
    <cellStyle name="20% - Accent3 4" xfId="114" xr:uid="{6B5DAB39-8D25-4682-8148-5978921DA573}"/>
    <cellStyle name="20% - Accent3 5" xfId="37" xr:uid="{64E8D643-3497-4B8F-9264-C86512F59A8C}"/>
    <cellStyle name="20% - Accent3 6" xfId="160" xr:uid="{924A7043-2F90-4E73-AC38-38DA3EBD6F24}"/>
    <cellStyle name="20% - Accent4 2" xfId="92" xr:uid="{5918ED72-1F0C-4D27-ADFF-D94DAE6E781B}"/>
    <cellStyle name="20% - Accent4 2 2" xfId="136" xr:uid="{4833DD65-DA17-4B31-92F7-6CE6EDD8FCBE}"/>
    <cellStyle name="20% - Accent4 3" xfId="106" xr:uid="{CFF2DDDB-0730-4968-A903-FBEC343AB4FE}"/>
    <cellStyle name="20% - Accent4 3 2" xfId="150" xr:uid="{A1A13EED-9DA4-47BA-AC77-7394C7AA47A9}"/>
    <cellStyle name="20% - Accent4 4" xfId="115" xr:uid="{C7BC6CBC-D0A3-48F0-9A42-1BA9CB7B7680}"/>
    <cellStyle name="20% - Accent4 5" xfId="38" xr:uid="{DF825711-8AAD-486C-B738-9A5228278482}"/>
    <cellStyle name="20% - Accent4 6" xfId="161" xr:uid="{044CEE68-C8C8-4A33-B9EE-7230D2CF45D3}"/>
    <cellStyle name="20% - Accent5 2" xfId="94" xr:uid="{514A8C8E-1F83-417F-B3AA-A0D210EA8339}"/>
    <cellStyle name="20% - Accent5 2 2" xfId="138" xr:uid="{47082ED2-1468-4481-9FCB-46442E2E4BB7}"/>
    <cellStyle name="20% - Accent5 3" xfId="108" xr:uid="{77D1500A-262D-48A6-B141-8C11D29395C6}"/>
    <cellStyle name="20% - Accent5 3 2" xfId="152" xr:uid="{50690E60-FA76-4B12-AA0B-D5AD912F8B78}"/>
    <cellStyle name="20% - Accent5 4" xfId="116" xr:uid="{0EC8A61F-90C4-42F4-AC1A-A365474B7A8E}"/>
    <cellStyle name="20% - Accent5 5" xfId="39" xr:uid="{176B8102-5F2E-46D5-A012-63E57E2A11AA}"/>
    <cellStyle name="20% - Accent5 6" xfId="162" xr:uid="{837A078B-F074-410C-9BC1-A06FE08EE586}"/>
    <cellStyle name="20% - Accent6 2" xfId="96" xr:uid="{77FFB1EC-1D4D-464B-9894-B2CA18966997}"/>
    <cellStyle name="20% - Accent6 2 2" xfId="140" xr:uid="{F436F5CE-C01C-45B2-A189-FE422F722E29}"/>
    <cellStyle name="20% - Accent6 3" xfId="110" xr:uid="{71615E5A-B015-439F-93AE-41BE453C2215}"/>
    <cellStyle name="20% - Accent6 3 2" xfId="154" xr:uid="{E857349F-4F83-4F42-848D-C5F562FD8C89}"/>
    <cellStyle name="20% - Accent6 4" xfId="117" xr:uid="{7054C709-165D-46D8-BA7D-4EE06C3A5D16}"/>
    <cellStyle name="20% - Accent6 5" xfId="40" xr:uid="{55504B3B-D424-4DA1-94F8-1E199C603330}"/>
    <cellStyle name="20% - Accent6 6" xfId="163" xr:uid="{A3053590-8817-4C4F-AB83-061642B0FBB1}"/>
    <cellStyle name="40% - Accent1 2" xfId="87" xr:uid="{FC3D3E5C-361E-4C38-9514-17F1101CE210}"/>
    <cellStyle name="40% - Accent1 2 2" xfId="131" xr:uid="{F079A073-6802-4F4C-B6C8-22458C96C201}"/>
    <cellStyle name="40% - Accent1 3" xfId="101" xr:uid="{3B8779DC-188B-4D6F-8519-F98E7E017636}"/>
    <cellStyle name="40% - Accent1 3 2" xfId="145" xr:uid="{1F40DF2E-7DA9-4710-8FAD-AE09C800D100}"/>
    <cellStyle name="40% - Accent1 4" xfId="118" xr:uid="{56BDF092-0C96-4D2B-903B-7089381F1CC9}"/>
    <cellStyle name="40% - Accent1 5" xfId="41" xr:uid="{C75DD47F-BE27-447A-B987-42A8BD2C55E2}"/>
    <cellStyle name="40% - Accent1 6" xfId="164" xr:uid="{1EBB21C7-B70D-4839-88E2-0016E39A3A4D}"/>
    <cellStyle name="40% - Accent2 2" xfId="89" xr:uid="{F44D44AA-4EE3-4513-9A6E-D8AA16D07581}"/>
    <cellStyle name="40% - Accent2 2 2" xfId="133" xr:uid="{8B3CCE31-62A7-4868-B179-A734CFFFCB66}"/>
    <cellStyle name="40% - Accent2 3" xfId="103" xr:uid="{B2D7419A-AD23-4D40-AB5D-78EB53AFA0C8}"/>
    <cellStyle name="40% - Accent2 3 2" xfId="147" xr:uid="{9D20C1CD-5E34-487E-99C5-FD4E83F9FE31}"/>
    <cellStyle name="40% - Accent2 4" xfId="119" xr:uid="{32A2A6BC-7E77-486A-BC5F-0DCF4776C381}"/>
    <cellStyle name="40% - Accent2 5" xfId="42" xr:uid="{3B50C5A9-B04E-4AE8-82B2-F5F9CE8811B9}"/>
    <cellStyle name="40% - Accent2 6" xfId="165" xr:uid="{AA46F0DE-3FBB-47F4-9537-52DFD0F19A13}"/>
    <cellStyle name="40% - Accent3 2" xfId="91" xr:uid="{50766C6D-8963-44A2-9937-053EF8BEBBFE}"/>
    <cellStyle name="40% - Accent3 2 2" xfId="135" xr:uid="{936AE4E8-9A14-435A-B736-563AC9FC8E2E}"/>
    <cellStyle name="40% - Accent3 3" xfId="105" xr:uid="{2A5ADAD2-6345-452B-A4A5-C9B49D771645}"/>
    <cellStyle name="40% - Accent3 3 2" xfId="149" xr:uid="{1401AEE5-977D-44E9-8256-826B2A2D3EB8}"/>
    <cellStyle name="40% - Accent3 4" xfId="120" xr:uid="{CE7AA058-5980-41F0-98F1-BAD7CEB2EF9E}"/>
    <cellStyle name="40% - Accent3 5" xfId="43" xr:uid="{5C1C9743-1B41-4642-9137-9B375BEDD9EA}"/>
    <cellStyle name="40% - Accent3 6" xfId="166" xr:uid="{28040C04-A664-4444-ABCE-60CFC19D58A6}"/>
    <cellStyle name="40% - Accent4 2" xfId="93" xr:uid="{67BC476F-5611-46B8-AACB-FC0251399C29}"/>
    <cellStyle name="40% - Accent4 2 2" xfId="137" xr:uid="{8464716E-5AA1-49A2-94F1-958D0C8D2D64}"/>
    <cellStyle name="40% - Accent4 3" xfId="107" xr:uid="{284EAF66-0545-4F8B-AC85-3516BAD194EB}"/>
    <cellStyle name="40% - Accent4 3 2" xfId="151" xr:uid="{2F59207F-6A56-45D2-A8C4-E7DF3C56DCCF}"/>
    <cellStyle name="40% - Accent4 4" xfId="121" xr:uid="{51957A6B-5C15-4FA4-8D7C-089A580A554B}"/>
    <cellStyle name="40% - Accent4 5" xfId="44" xr:uid="{6DD40390-6D15-4584-A6DE-A43F276ECB2D}"/>
    <cellStyle name="40% - Accent4 6" xfId="167" xr:uid="{1475CBA5-AE31-43EB-9E1F-A0A7642AEF01}"/>
    <cellStyle name="40% - Accent5 2" xfId="95" xr:uid="{62DBF941-D38F-4569-BA61-190950BD53B1}"/>
    <cellStyle name="40% - Accent5 2 2" xfId="139" xr:uid="{F7CB2273-B0FE-40A1-9E7C-7A7A9502F571}"/>
    <cellStyle name="40% - Accent5 3" xfId="109" xr:uid="{694545BD-BBC4-4014-AE1C-E7B3EF604BB7}"/>
    <cellStyle name="40% - Accent5 3 2" xfId="153" xr:uid="{0B4D656C-4727-4D09-9C65-5D2EEA63E01F}"/>
    <cellStyle name="40% - Accent5 4" xfId="122" xr:uid="{8CE18640-F335-43A3-B370-AC319BEA0338}"/>
    <cellStyle name="40% - Accent5 5" xfId="45" xr:uid="{A405F0C4-867A-4188-BF06-F301AED8E9E1}"/>
    <cellStyle name="40% - Accent5 6" xfId="168" xr:uid="{4A8F105A-53C0-487A-9AA7-9F126A859410}"/>
    <cellStyle name="40% - Accent6 2" xfId="97" xr:uid="{7C20A56E-047A-4AD7-9F35-0D9F9E4B7C43}"/>
    <cellStyle name="40% - Accent6 2 2" xfId="141" xr:uid="{ECED0E06-061B-4C9A-B432-279DE4798DBB}"/>
    <cellStyle name="40% - Accent6 3" xfId="111" xr:uid="{3185033F-22A7-45B4-8230-9F0DBE230D28}"/>
    <cellStyle name="40% - Accent6 3 2" xfId="155" xr:uid="{A4EF3B1C-AA2E-4190-99E8-6989D24C7593}"/>
    <cellStyle name="40% - Accent6 4" xfId="123" xr:uid="{DA0C1B3F-8FA4-4736-A171-38FA9A0EC5E9}"/>
    <cellStyle name="40% - Accent6 5" xfId="46" xr:uid="{732E9002-72F7-4D98-AD3D-AB77D18CD57B}"/>
    <cellStyle name="40% - Accent6 6" xfId="169" xr:uid="{91DC0135-5835-4469-A489-0D8889491758}"/>
    <cellStyle name="60% - Accent1 2" xfId="47" xr:uid="{B8548245-B0F7-42B5-9B0A-F2E5802FED74}"/>
    <cellStyle name="60% - Accent1 3" xfId="170" xr:uid="{21A79CE4-5579-4387-ADC0-E04C38C54533}"/>
    <cellStyle name="60% - Accent2 2" xfId="48" xr:uid="{8FEA08CC-986F-4B98-BB91-830E8A479A4A}"/>
    <cellStyle name="60% - Accent2 3" xfId="171" xr:uid="{AEC28F5E-B4AC-467A-A2A6-8486845427A7}"/>
    <cellStyle name="60% - Accent3 2" xfId="49" xr:uid="{8F1C6ED9-07CD-4EE0-A759-A53CA94553AF}"/>
    <cellStyle name="60% - Accent3 3" xfId="172" xr:uid="{CE252E1E-D779-4D24-A07D-94F3FE9F807E}"/>
    <cellStyle name="60% - Accent4 2" xfId="50" xr:uid="{F287B13A-5A6F-4B40-A82D-ADD6666981CA}"/>
    <cellStyle name="60% - Accent4 3" xfId="173" xr:uid="{BCF1CEC5-D1EF-478B-8DE6-226EB8BBBDE4}"/>
    <cellStyle name="60% - Accent5 2" xfId="51" xr:uid="{A0393A8B-14F9-47D9-8A32-6726D5BA46DD}"/>
    <cellStyle name="60% - Accent5 3" xfId="174" xr:uid="{A09D17AC-DE89-44F3-8561-BB29549D8A60}"/>
    <cellStyle name="60% - Accent6 2" xfId="52" xr:uid="{B7AF7B9A-899A-49E2-ACAA-6EF595D0A79E}"/>
    <cellStyle name="60% - Accent6 3" xfId="175" xr:uid="{9659D0CB-35CE-44D5-82C6-2AB290239C55}"/>
    <cellStyle name="Accent1 2" xfId="53" xr:uid="{5DF89A21-591A-45B3-BBAF-09B7228B38CD}"/>
    <cellStyle name="Accent1 3" xfId="176" xr:uid="{B5A7DE58-FC31-491F-8298-843E449A33A2}"/>
    <cellStyle name="Accent2 2" xfId="54" xr:uid="{7C1343D3-D071-47D6-93FD-097A9C737AB0}"/>
    <cellStyle name="Accent2 3" xfId="177" xr:uid="{9CBFF201-6CA3-4C2C-8309-5D20C01CC4AF}"/>
    <cellStyle name="Accent3 2" xfId="55" xr:uid="{07B6DB6E-F832-4449-8790-BC6CB48C7406}"/>
    <cellStyle name="Accent3 3" xfId="178" xr:uid="{B6C3A390-5CB5-4604-9868-14E51B637BA5}"/>
    <cellStyle name="Accent4 2" xfId="56" xr:uid="{B983CF81-BA0C-463D-B1BC-2CCB7AA3F4BF}"/>
    <cellStyle name="Accent4 3" xfId="179" xr:uid="{544AF6CB-D712-46E6-B994-8DD68D29674A}"/>
    <cellStyle name="Accent5 2" xfId="57" xr:uid="{C5EEB249-F9AC-4F2D-9BDE-24F5D1E6DBE1}"/>
    <cellStyle name="Accent5 3" xfId="180" xr:uid="{C0A32FE2-F3AB-4831-A023-329422EACE60}"/>
    <cellStyle name="Accent6 2" xfId="58" xr:uid="{665C98E8-B0B0-4D4E-AD64-2E2CAFD6FC67}"/>
    <cellStyle name="Accent6 3" xfId="181" xr:uid="{78C9D229-A464-4148-AB21-D642A40F2C24}"/>
    <cellStyle name="ANCLAS,REZONES Y SUS PARTES,DE FUNDICION,DE HIERRO O DE ACERO" xfId="22" xr:uid="{20402952-2B77-4A4B-9471-925D3CBF2E97}"/>
    <cellStyle name="Bad 2" xfId="59" xr:uid="{8CD918E8-8C1B-4C3B-ADAB-C3F032588402}"/>
    <cellStyle name="Bad 3" xfId="182" xr:uid="{08F36828-390B-441D-982C-298939CF4F84}"/>
    <cellStyle name="Calculation 2" xfId="60" xr:uid="{4B513A67-F178-4B0D-AA3F-A87CC655CCD1}"/>
    <cellStyle name="Calculation 3" xfId="183" xr:uid="{65F19F1F-87EC-4E66-81A1-3F89E49D27B1}"/>
    <cellStyle name="Check Cell 2" xfId="61" xr:uid="{0D74966F-2486-4E2A-A335-8805B4E251B2}"/>
    <cellStyle name="Check Cell 3" xfId="184" xr:uid="{518E4A38-60AF-4673-B50F-D1527F5A880A}"/>
    <cellStyle name="Comma" xfId="6" builtinId="3"/>
    <cellStyle name="Comma 2" xfId="5" xr:uid="{3A15688F-4265-4AA1-8A30-472E1D31A4BB}"/>
    <cellStyle name="Comma 2 2" xfId="124" xr:uid="{4121ECC3-7F01-4B9F-B016-F18AFE5C8E34}"/>
    <cellStyle name="Comma 2 3" xfId="185" xr:uid="{9019490C-B558-43B0-9066-241E987D5A6D}"/>
    <cellStyle name="Comma 3" xfId="10" xr:uid="{3CE64D17-3BB7-43A3-925C-A4C5FC5CA280}"/>
    <cellStyle name="Comma 3 2" xfId="209" xr:uid="{AE344701-1345-410A-8832-AB9FF88ED961}"/>
    <cellStyle name="Comma 4" xfId="23" xr:uid="{C27E5B63-3AAB-4852-B7CA-06EC32B32B54}"/>
    <cellStyle name="Comma 5" xfId="62" xr:uid="{B61E016C-1CC4-4B8E-9576-6C26926FC5E6}"/>
    <cellStyle name="Currency" xfId="14" builtinId="4"/>
    <cellStyle name="Data_Total" xfId="34" xr:uid="{9EB486ED-C3FE-4FA0-9838-E654B47B6EE2}"/>
    <cellStyle name="Explanatory Text 2" xfId="63" xr:uid="{631089F9-2D15-4CF0-B8C5-72E112C05913}"/>
    <cellStyle name="Explanatory Text 3" xfId="186" xr:uid="{B789D064-4B89-48DE-8C85-4EA5611D1E0A}"/>
    <cellStyle name="Followed Hyperlink 2" xfId="65" xr:uid="{D85F3BC8-4FD6-4CFB-85E8-D7D43DC1948E}"/>
    <cellStyle name="Followed Hyperlink 3" xfId="66" xr:uid="{3619C565-A0DC-4E4E-9F48-21749C24543D}"/>
    <cellStyle name="Followed Hyperlink 4" xfId="64" xr:uid="{7641B1C7-F0F5-4B8D-9035-25AE91060BC5}"/>
    <cellStyle name="Good 2" xfId="67" xr:uid="{6CDD07FD-8938-44E8-850E-A5071474C646}"/>
    <cellStyle name="Good 3" xfId="187" xr:uid="{83AA6C9B-B536-4D89-810A-D8A0F1A52CB7}"/>
    <cellStyle name="Heading 1 2" xfId="24" xr:uid="{B73FF9D8-11B2-42C2-8A37-D8361CDF82C8}"/>
    <cellStyle name="Heading 1 3" xfId="68" xr:uid="{AD1A5F1F-500E-485E-BE59-6C39732BC81F}"/>
    <cellStyle name="Heading 1 4" xfId="188" xr:uid="{7AEFEF07-28DF-442C-A2B4-B4F17CE3AD21}"/>
    <cellStyle name="Heading 2 2" xfId="25" xr:uid="{A526869B-3C2B-4418-8ED6-B470357B912C}"/>
    <cellStyle name="Heading 2 3" xfId="69" xr:uid="{AC3EBF9D-8531-4E2D-B668-E2424860B962}"/>
    <cellStyle name="Heading 2 4" xfId="189" xr:uid="{F1B466BE-7BEE-422B-AFE2-2F93FE075AE5}"/>
    <cellStyle name="Heading 3 2" xfId="70" xr:uid="{5496BB78-C102-4182-881B-98CC5E5DC52A}"/>
    <cellStyle name="Heading 3 3" xfId="190" xr:uid="{86BED4DF-0C7B-4B8D-BCEE-2DA68E9C8C3B}"/>
    <cellStyle name="Heading 4 2" xfId="71" xr:uid="{B967A791-F35C-494D-A04E-7C718C6AF881}"/>
    <cellStyle name="Heading 4 3" xfId="191" xr:uid="{5D40B258-9B1D-44D6-8A38-734C2C6FCE20}"/>
    <cellStyle name="Hyperlink" xfId="1" builtinId="8"/>
    <cellStyle name="Hyperlink 2" xfId="4" xr:uid="{92D48DB3-933D-4510-BF03-655295468588}"/>
    <cellStyle name="Hyperlink 2 2" xfId="73" xr:uid="{E4BB8220-0E6C-4FF8-A24C-A99AE840F030}"/>
    <cellStyle name="Hyperlink 2 2 2" xfId="27" xr:uid="{03BFA325-11AB-4DF3-94E3-51254FC102FF}"/>
    <cellStyle name="Hyperlink 3" xfId="26" xr:uid="{CD113EFB-4E34-44BF-9DC7-E6E9E766B7E6}"/>
    <cellStyle name="Hyperlink 3 2" xfId="74" xr:uid="{B46E3E3C-8A29-4032-B522-200720ABD333}"/>
    <cellStyle name="Hyperlink 4" xfId="72" xr:uid="{C2244A1A-ECAA-40DC-987A-314C792E8662}"/>
    <cellStyle name="Input 2" xfId="75" xr:uid="{A2AE4D6A-213D-48C6-AF6B-5E14E7F7A575}"/>
    <cellStyle name="Input 3" xfId="192" xr:uid="{21875A12-9C5C-4992-A45C-B7A802D60563}"/>
    <cellStyle name="Linked Cell 2" xfId="76" xr:uid="{A1A5927F-8873-46D3-876D-1B472410B653}"/>
    <cellStyle name="Linked Cell 3" xfId="193" xr:uid="{9CCDCAFF-F906-4A7B-96A4-23C4C148792C}"/>
    <cellStyle name="Neutral 2" xfId="77" xr:uid="{119AF487-C001-4625-A53A-235659CB486F}"/>
    <cellStyle name="Neutral 3" xfId="194" xr:uid="{D90021FE-11BA-4B60-9F20-A61742E20A1A}"/>
    <cellStyle name="Normal" xfId="0" builtinId="0"/>
    <cellStyle name="Normal 2" xfId="12" xr:uid="{DB9CE9A6-8B3C-452F-A196-E587F3012508}"/>
    <cellStyle name="Normal 2 2" xfId="17" xr:uid="{01F31E00-1AC6-40C5-BB4F-ECF73D753EAE}"/>
    <cellStyle name="Normal 2 2 2" xfId="30" xr:uid="{6949556B-A210-4C29-A113-5850EE86EF41}"/>
    <cellStyle name="Normal 2 2 2 2" xfId="206" xr:uid="{0696C528-431A-465B-BE10-027787511352}"/>
    <cellStyle name="Normal 2 2 2 2 2" xfId="203" xr:uid="{B90FEFC9-3581-4D17-812E-A47777BFF5B1}"/>
    <cellStyle name="Normal 2 2 2 2 2 2" xfId="208" xr:uid="{9FFB7C76-19E7-447A-A9DC-75E3EA19360A}"/>
    <cellStyle name="Normal 2 2 3" xfId="29" xr:uid="{D296C8A5-CD1F-451D-B0C8-B206967347F8}"/>
    <cellStyle name="Normal 2 2 4" xfId="125" xr:uid="{43712828-3787-4576-83F3-47743C2334E0}"/>
    <cellStyle name="Normal 2 3" xfId="16" xr:uid="{05EC7202-2A43-4485-95D2-0328B216B67E}"/>
    <cellStyle name="Normal 2 3 2" xfId="205" xr:uid="{31C54143-E823-476B-B67F-5B62E968AB22}"/>
    <cellStyle name="Normal 2 4" xfId="28" xr:uid="{E51995A1-5E1C-48C0-B813-D22B99618B2A}"/>
    <cellStyle name="Normal 2 5" xfId="78" xr:uid="{927EB68A-DBBB-49D4-ABB2-9EBDE5119306}"/>
    <cellStyle name="Normal 3" xfId="9" xr:uid="{E2FC5B62-FD7A-4196-9B44-174C34AEA5AF}"/>
    <cellStyle name="Normal 3 2" xfId="18" xr:uid="{65CBF19D-308B-48B1-8B1B-4F2E073C6743}"/>
    <cellStyle name="Normal 3 2 2" xfId="128" xr:uid="{BEAC7567-A1C3-4F85-8D89-1E6214A9749F}"/>
    <cellStyle name="Normal 3 3" xfId="84" xr:uid="{14D04B6B-15D6-46A4-A9B0-1656DFB6356C}"/>
    <cellStyle name="Normal 4" xfId="19" xr:uid="{7191BB97-E0ED-44AC-892B-5EF804C9663E}"/>
    <cellStyle name="Normal 4 2" xfId="142" xr:uid="{7BE16024-8217-4823-8E50-2C5D4214DCF9}"/>
    <cellStyle name="Normal 4 2 2" xfId="207" xr:uid="{201A2750-6029-4095-9B6B-A725A6D126E1}"/>
    <cellStyle name="Normal 4 3" xfId="98" xr:uid="{0442B6C8-B20B-456D-A576-6B0E0CCBB30B}"/>
    <cellStyle name="Normal 4 4" xfId="202" xr:uid="{DD1A2F66-F11F-4F34-B8E4-9A7A0DB801AE}"/>
    <cellStyle name="Normal 5" xfId="3" xr:uid="{D6E812A0-936C-48EF-8200-21F50459009E}"/>
    <cellStyle name="Normal 5 2" xfId="210" xr:uid="{3630F1B4-F0D0-44F0-A594-685F27609155}"/>
    <cellStyle name="Normal 6" xfId="15" xr:uid="{6FF269EA-45C3-412D-87DA-8AC3B7DABB23}"/>
    <cellStyle name="Normal 6 2" xfId="211" xr:uid="{3E0DCE37-9426-43C9-BD14-CBC66429D05A}"/>
    <cellStyle name="Normal 7" xfId="21" xr:uid="{5D39604D-14A8-4B52-A985-004E469532CF}"/>
    <cellStyle name="Normal 7 2" xfId="212" xr:uid="{A799ACCC-3FF5-4AFF-AD09-67935667E6D0}"/>
    <cellStyle name="Normal 8" xfId="213" xr:uid="{5EFB7C53-A702-4172-8572-9551135FB43C}"/>
    <cellStyle name="Normal_Long-term claimant count - Nov 2010" xfId="20" xr:uid="{99CF49E8-13CA-4B9D-A3F8-B233D9B9DFCE}"/>
    <cellStyle name="Normal_TABLE2" xfId="13" xr:uid="{353B4261-3F9C-4335-9A98-04D0D40AEC27}"/>
    <cellStyle name="Normal10" xfId="157" xr:uid="{DDD68153-89CD-42F3-AAA3-DD8C88509811}"/>
    <cellStyle name="Note 2" xfId="80" xr:uid="{A5B8B9CA-906A-4325-9860-FBD223DFC667}"/>
    <cellStyle name="Note 2 2" xfId="127" xr:uid="{3FFD19F3-D2FA-451E-82C8-F2ECCF96C8DF}"/>
    <cellStyle name="Note 3" xfId="85" xr:uid="{0F7EF467-0C5E-411A-9CCA-89566D4E8479}"/>
    <cellStyle name="Note 3 2" xfId="129" xr:uid="{B680BFA5-2E48-4729-8D6F-FF1FA3CB6BD7}"/>
    <cellStyle name="Note 4" xfId="99" xr:uid="{1DFFEDB1-46A9-4205-BCAB-0D8137654FA7}"/>
    <cellStyle name="Note 4 2" xfId="143" xr:uid="{8C424A11-D34F-43EF-9D38-D5E948090D0F}"/>
    <cellStyle name="Note 5" xfId="126" xr:uid="{91AB178E-6EAD-48D9-BCD0-479B1379DF42}"/>
    <cellStyle name="Note 6" xfId="79" xr:uid="{06B62470-A1F5-4E71-AB0A-171BC7ADCFFD}"/>
    <cellStyle name="Note 7" xfId="195" xr:uid="{BD18FEF2-B011-4119-AA56-1D7BBF83FD68}"/>
    <cellStyle name="Output 2" xfId="81" xr:uid="{3FEDB6E4-2D83-48CC-BCD1-1E3EA6B60E08}"/>
    <cellStyle name="Output 3" xfId="196" xr:uid="{DBB4DB7A-AD11-4EC7-BE31-F6858B332C85}"/>
    <cellStyle name="Paragraph Han" xfId="31" xr:uid="{AF2304B8-E78C-43CC-A336-E6FA2B1E9D1B}"/>
    <cellStyle name="Percent" xfId="2" builtinId="5"/>
    <cellStyle name="Percent 2" xfId="11" xr:uid="{F09BEF0A-B309-4D7D-AB1B-B481B36BD408}"/>
    <cellStyle name="Percent 2 2" xfId="204" xr:uid="{433590C3-C0CE-4509-91DE-CBC95307F21B}"/>
    <cellStyle name="Percent 3" xfId="156" xr:uid="{54B35000-E81C-42C9-902E-3599B44940A8}"/>
    <cellStyle name="Row_Headings" xfId="32" xr:uid="{F996743D-D8DD-4BF8-BA86-A21B861EC79A}"/>
    <cellStyle name="Title 2" xfId="33" xr:uid="{E3A50462-DE6B-4F34-87AC-C62E64E9DFE4}"/>
    <cellStyle name="Title 3" xfId="197" xr:uid="{7D4348D7-3B96-41D2-8022-280D575DC975}"/>
    <cellStyle name="Total 2" xfId="82" xr:uid="{C8EA5B28-DF1B-4D2B-BF19-74F223834FD1}"/>
    <cellStyle name="Total 3" xfId="198" xr:uid="{D61047B9-21A4-466B-827E-0EC1F27D3504}"/>
    <cellStyle name="Warning Text 2" xfId="83" xr:uid="{67E50226-CB88-4F45-81B5-11DFA8324F19}"/>
    <cellStyle name="Warning Text 3" xfId="199" xr:uid="{07C6CBA1-75CD-4E14-95A9-4B140D7933EA}"/>
    <cellStyle name="whole number" xfId="200" xr:uid="{B970AF34-8E20-45E7-BEF9-B35E56CCABE1}"/>
    <cellStyle name="whole number 2" xfId="201" xr:uid="{80B19675-E288-4DBC-970F-617D9E918444}"/>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55.xml.rels><?xml version="1.0" encoding="UTF-8" standalone="yes"?>
<Relationships xmlns="http://schemas.openxmlformats.org/package/2006/relationships"><Relationship Id="rId2" Type="http://schemas.microsoft.com/office/2011/relationships/chartColorStyle" Target="colors55.xml"/><Relationship Id="rId1" Type="http://schemas.microsoft.com/office/2011/relationships/chartStyle" Target="style55.xml"/></Relationships>
</file>

<file path=xl/charts/_rels/chart56.xml.rels><?xml version="1.0" encoding="UTF-8" standalone="yes"?>
<Relationships xmlns="http://schemas.openxmlformats.org/package/2006/relationships"><Relationship Id="rId2" Type="http://schemas.microsoft.com/office/2011/relationships/chartColorStyle" Target="colors56.xml"/><Relationship Id="rId1" Type="http://schemas.microsoft.com/office/2011/relationships/chartStyle" Target="style56.xml"/></Relationships>
</file>

<file path=xl/charts/_rels/chart57.xml.rels><?xml version="1.0" encoding="UTF-8" standalone="yes"?>
<Relationships xmlns="http://schemas.openxmlformats.org/package/2006/relationships"><Relationship Id="rId2" Type="http://schemas.microsoft.com/office/2011/relationships/chartColorStyle" Target="colors57.xml"/><Relationship Id="rId1" Type="http://schemas.microsoft.com/office/2011/relationships/chartStyle" Target="style57.xml"/></Relationships>
</file>

<file path=xl/charts/_rels/chart58.xml.rels><?xml version="1.0" encoding="UTF-8" standalone="yes"?>
<Relationships xmlns="http://schemas.openxmlformats.org/package/2006/relationships"><Relationship Id="rId2" Type="http://schemas.microsoft.com/office/2011/relationships/chartColorStyle" Target="colors58.xml"/><Relationship Id="rId1" Type="http://schemas.microsoft.com/office/2011/relationships/chartStyle" Target="style58.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Percentage Change in Population 2001 - 2021</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'1.1 Population Projections'!$E$5</c:f>
              <c:strCache>
                <c:ptCount val="1"/>
                <c:pt idx="0">
                  <c:v>% Change Moray</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'1.1 Population Projections'!$B$7:$B$26</c:f>
              <c:numCache>
                <c:formatCode>General</c:formatCode>
                <c:ptCount val="20"/>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numCache>
            </c:numRef>
          </c:xVal>
          <c:yVal>
            <c:numRef>
              <c:f>'1.1 Population Projections'!$E$7:$E$26</c:f>
              <c:numCache>
                <c:formatCode>0.00%</c:formatCode>
                <c:ptCount val="20"/>
                <c:pt idx="0">
                  <c:v>7.9310344827586213E-3</c:v>
                </c:pt>
                <c:pt idx="1">
                  <c:v>1.3000342114266164E-2</c:v>
                </c:pt>
                <c:pt idx="2">
                  <c:v>6.1916019362827871E-3</c:v>
                </c:pt>
                <c:pt idx="3">
                  <c:v>8.0554933989706867E-3</c:v>
                </c:pt>
                <c:pt idx="4">
                  <c:v>7.5471698113207548E-3</c:v>
                </c:pt>
                <c:pt idx="5">
                  <c:v>7.2703238598810314E-3</c:v>
                </c:pt>
                <c:pt idx="6">
                  <c:v>1.5310586176727909E-2</c:v>
                </c:pt>
                <c:pt idx="7">
                  <c:v>3.4467901766479965E-3</c:v>
                </c:pt>
                <c:pt idx="8">
                  <c:v>5.6891369686560755E-3</c:v>
                </c:pt>
                <c:pt idx="9">
                  <c:v>-2.3481694951435587E-3</c:v>
                </c:pt>
                <c:pt idx="10">
                  <c:v>-5.7772547341392961E-3</c:v>
                </c:pt>
                <c:pt idx="11">
                  <c:v>1.5387926396212203E-2</c:v>
                </c:pt>
                <c:pt idx="12">
                  <c:v>4.3450614667231878E-3</c:v>
                </c:pt>
                <c:pt idx="13">
                  <c:v>7.8083781787485493E-3</c:v>
                </c:pt>
                <c:pt idx="14">
                  <c:v>5.8632603915820336E-3</c:v>
                </c:pt>
                <c:pt idx="15">
                  <c:v>-3.0186322473196628E-3</c:v>
                </c:pt>
                <c:pt idx="16">
                  <c:v>-2.7145541866778031E-3</c:v>
                </c:pt>
                <c:pt idx="17">
                  <c:v>3.1407035175879399E-3</c:v>
                </c:pt>
                <c:pt idx="18">
                  <c:v>-1.1479858067209351E-3</c:v>
                </c:pt>
                <c:pt idx="19">
                  <c:v>7.3137603176261622E-3</c:v>
                </c:pt>
              </c:numCache>
            </c:numRef>
          </c:yVal>
          <c:smooth val="0"/>
          <c:extLst>
            <c:ext xmlns:c16="http://schemas.microsoft.com/office/drawing/2014/chart" uri="{C3380CC4-5D6E-409C-BE32-E72D297353CC}">
              <c16:uniqueId val="{00000000-3BFA-4470-867C-AC58834443E1}"/>
            </c:ext>
          </c:extLst>
        </c:ser>
        <c:ser>
          <c:idx val="1"/>
          <c:order val="1"/>
          <c:tx>
            <c:strRef>
              <c:f>'1.1 Population Projections'!$F$5</c:f>
              <c:strCache>
                <c:ptCount val="1"/>
                <c:pt idx="0">
                  <c:v>% Change Scotland</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'1.1 Population Projections'!$B$7:$B$26</c:f>
              <c:numCache>
                <c:formatCode>General</c:formatCode>
                <c:ptCount val="20"/>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numCache>
            </c:numRef>
          </c:xVal>
          <c:yVal>
            <c:numRef>
              <c:f>'1.1 Population Projections'!$F$7:$F$26</c:f>
              <c:numCache>
                <c:formatCode>0.00%</c:formatCode>
                <c:ptCount val="20"/>
                <c:pt idx="0">
                  <c:v>3.5543619920224318E-4</c:v>
                </c:pt>
                <c:pt idx="1">
                  <c:v>4.9348598499802606E-4</c:v>
                </c:pt>
                <c:pt idx="2">
                  <c:v>3.1172930847390748E-3</c:v>
                </c:pt>
                <c:pt idx="3">
                  <c:v>5.0941132505949692E-3</c:v>
                </c:pt>
                <c:pt idx="4">
                  <c:v>4.4616649054831517E-3</c:v>
                </c:pt>
                <c:pt idx="5">
                  <c:v>7.2082602766413402E-3</c:v>
                </c:pt>
                <c:pt idx="6">
                  <c:v>6.3636363636363638E-3</c:v>
                </c:pt>
                <c:pt idx="7">
                  <c:v>5.5738146033942606E-3</c:v>
                </c:pt>
                <c:pt idx="8">
                  <c:v>5.7913950954720083E-3</c:v>
                </c:pt>
                <c:pt idx="9">
                  <c:v>7.1643039033104025E-3</c:v>
                </c:pt>
                <c:pt idx="10">
                  <c:v>2.5849544331025113E-3</c:v>
                </c:pt>
                <c:pt idx="11">
                  <c:v>2.6535682023486901E-3</c:v>
                </c:pt>
                <c:pt idx="12">
                  <c:v>3.7351953000356627E-3</c:v>
                </c:pt>
                <c:pt idx="13">
                  <c:v>4.7497943002468394E-3</c:v>
                </c:pt>
                <c:pt idx="14">
                  <c:v>5.8998697189651967E-3</c:v>
                </c:pt>
                <c:pt idx="15">
                  <c:v>3.7189853275852499E-3</c:v>
                </c:pt>
                <c:pt idx="16">
                  <c:v>2.4517032886005015E-3</c:v>
                </c:pt>
                <c:pt idx="17">
                  <c:v>4.6339714238428859E-3</c:v>
                </c:pt>
                <c:pt idx="18">
                  <c:v>4.9420679808906702E-4</c:v>
                </c:pt>
                <c:pt idx="19">
                  <c:v>2.5429930479326747E-3</c:v>
                </c:pt>
              </c:numCache>
            </c:numRef>
          </c:yVal>
          <c:smooth val="0"/>
          <c:extLst>
            <c:ext xmlns:c16="http://schemas.microsoft.com/office/drawing/2014/chart" uri="{C3380CC4-5D6E-409C-BE32-E72D297353CC}">
              <c16:uniqueId val="{00000001-3BFA-4470-867C-AC58834443E1}"/>
            </c:ext>
          </c:extLst>
        </c:ser>
        <c:dLbls>
          <c:showLegendKey val="0"/>
          <c:showVal val="0"/>
          <c:showCatName val="0"/>
          <c:showSerName val="0"/>
          <c:showPercent val="0"/>
          <c:showBubbleSize val="0"/>
        </c:dLbls>
        <c:axId val="717766440"/>
        <c:axId val="717766768"/>
      </c:scatterChart>
      <c:valAx>
        <c:axId val="717766440"/>
        <c:scaling>
          <c:orientation val="minMax"/>
          <c:max val="2021"/>
          <c:min val="2002"/>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766768"/>
        <c:crosses val="autoZero"/>
        <c:crossBetween val="midCat"/>
      </c:valAx>
      <c:valAx>
        <c:axId val="71776676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76644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r>
              <a:rPr lang="en-US" sz="1600">
                <a:solidFill>
                  <a:sysClr val="windowText" lastClr="000000"/>
                </a:solidFill>
              </a:rPr>
              <a:t>Moray</a:t>
            </a:r>
            <a:r>
              <a:rPr lang="en-US" sz="1600" baseline="0">
                <a:solidFill>
                  <a:sysClr val="windowText" lastClr="000000"/>
                </a:solidFill>
              </a:rPr>
              <a:t> Change in Population 2001 - 2021</a:t>
            </a:r>
            <a:endParaRPr lang="en-US" sz="1600">
              <a:solidFill>
                <a:sysClr val="windowText" lastClr="000000"/>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endParaRPr lang="en-US"/>
        </a:p>
      </c:txPr>
    </c:title>
    <c:autoTitleDeleted val="0"/>
    <c:plotArea>
      <c:layout/>
      <c:scatterChart>
        <c:scatterStyle val="lineMarker"/>
        <c:varyColors val="0"/>
        <c:ser>
          <c:idx val="0"/>
          <c:order val="0"/>
          <c:tx>
            <c:strRef>
              <c:f>'1.1 Population Projections'!$C$5</c:f>
              <c:strCache>
                <c:ptCount val="1"/>
                <c:pt idx="0">
                  <c:v>Moray</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79E-4482-A53A-126C249E331C}"/>
                </c:ext>
              </c:extLst>
            </c:dLbl>
            <c:dLbl>
              <c:idx val="20"/>
              <c:layout>
                <c:manualLayout>
                  <c:x val="0"/>
                  <c:y val="-4.0823855572073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79E-4482-A53A-126C249E331C}"/>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'1.1 Population Projections'!$B$6:$B$26</c:f>
              <c:numCache>
                <c:formatCode>General</c:formatCode>
                <c:ptCount val="21"/>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pt idx="15">
                  <c:v>2016</c:v>
                </c:pt>
                <c:pt idx="16">
                  <c:v>2017</c:v>
                </c:pt>
                <c:pt idx="17">
                  <c:v>2018</c:v>
                </c:pt>
                <c:pt idx="18">
                  <c:v>2019</c:v>
                </c:pt>
                <c:pt idx="19">
                  <c:v>2020</c:v>
                </c:pt>
                <c:pt idx="20">
                  <c:v>2021</c:v>
                </c:pt>
              </c:numCache>
            </c:numRef>
          </c:xVal>
          <c:yVal>
            <c:numRef>
              <c:f>'1.1 Population Projections'!$C$6:$C$26</c:f>
              <c:numCache>
                <c:formatCode>_-* #,##0_-;\-* #,##0_-;_-* "-"??_-;_-@_-</c:formatCode>
                <c:ptCount val="21"/>
                <c:pt idx="0">
                  <c:v>87000</c:v>
                </c:pt>
                <c:pt idx="1">
                  <c:v>87690</c:v>
                </c:pt>
                <c:pt idx="2">
                  <c:v>88830</c:v>
                </c:pt>
                <c:pt idx="3">
                  <c:v>89380</c:v>
                </c:pt>
                <c:pt idx="4">
                  <c:v>90100</c:v>
                </c:pt>
                <c:pt idx="5">
                  <c:v>90780</c:v>
                </c:pt>
                <c:pt idx="6">
                  <c:v>91440</c:v>
                </c:pt>
                <c:pt idx="7">
                  <c:v>92840</c:v>
                </c:pt>
                <c:pt idx="8">
                  <c:v>93160</c:v>
                </c:pt>
                <c:pt idx="9">
                  <c:v>93690</c:v>
                </c:pt>
                <c:pt idx="10">
                  <c:v>93470</c:v>
                </c:pt>
                <c:pt idx="11">
                  <c:v>92930</c:v>
                </c:pt>
                <c:pt idx="12">
                  <c:v>94360</c:v>
                </c:pt>
                <c:pt idx="13">
                  <c:v>94770</c:v>
                </c:pt>
                <c:pt idx="14">
                  <c:v>95510</c:v>
                </c:pt>
                <c:pt idx="15">
                  <c:v>96070</c:v>
                </c:pt>
                <c:pt idx="16">
                  <c:v>95780</c:v>
                </c:pt>
                <c:pt idx="17">
                  <c:v>95520</c:v>
                </c:pt>
                <c:pt idx="18">
                  <c:v>95820</c:v>
                </c:pt>
                <c:pt idx="19">
                  <c:v>95710</c:v>
                </c:pt>
                <c:pt idx="20">
                  <c:v>96410</c:v>
                </c:pt>
              </c:numCache>
            </c:numRef>
          </c:yVal>
          <c:smooth val="0"/>
          <c:extLst>
            <c:ext xmlns:c16="http://schemas.microsoft.com/office/drawing/2014/chart" uri="{C3380CC4-5D6E-409C-BE32-E72D297353CC}">
              <c16:uniqueId val="{00000000-179E-4482-A53A-126C249E331C}"/>
            </c:ext>
          </c:extLst>
        </c:ser>
        <c:dLbls>
          <c:showLegendKey val="0"/>
          <c:showVal val="0"/>
          <c:showCatName val="0"/>
          <c:showSerName val="0"/>
          <c:showPercent val="0"/>
          <c:showBubbleSize val="0"/>
        </c:dLbls>
        <c:axId val="947791400"/>
        <c:axId val="947791728"/>
      </c:scatterChart>
      <c:valAx>
        <c:axId val="947791400"/>
        <c:scaling>
          <c:orientation val="minMax"/>
          <c:max val="2021"/>
          <c:min val="2001"/>
        </c:scaling>
        <c:delete val="0"/>
        <c:axPos val="b"/>
        <c:majorGridlines>
          <c:spPr>
            <a:ln w="9525" cap="flat" cmpd="sng" algn="ctr">
              <a:no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947791728"/>
        <c:crosses val="autoZero"/>
        <c:crossBetween val="midCat"/>
      </c:valAx>
      <c:valAx>
        <c:axId val="947791728"/>
        <c:scaling>
          <c:orientation val="minMax"/>
        </c:scaling>
        <c:delete val="0"/>
        <c:axPos val="l"/>
        <c:majorGridlines>
          <c:spPr>
            <a:ln w="9525" cap="flat" cmpd="sng" algn="ctr">
              <a:noFill/>
              <a:round/>
            </a:ln>
            <a:effectLst/>
          </c:spPr>
        </c:majorGridlines>
        <c:numFmt formatCode="_-* #,##0_-;\-* #,##0_-;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94779140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Yearly %</a:t>
            </a:r>
            <a:r>
              <a:rPr lang="en-GB" baseline="0"/>
              <a:t> Change in Average Household Size</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'1.2-1.4 Household Projections'!$E$37</c:f>
              <c:strCache>
                <c:ptCount val="1"/>
                <c:pt idx="0">
                  <c:v>Moray Change (%)</c:v>
                </c:pt>
              </c:strCache>
            </c:strRef>
          </c:tx>
          <c:spPr>
            <a:ln w="28575" cap="rnd">
              <a:solidFill>
                <a:schemeClr val="accent1"/>
              </a:solidFill>
              <a:round/>
            </a:ln>
            <a:effectLst/>
          </c:spPr>
          <c:marker>
            <c:symbol val="none"/>
          </c:marker>
          <c:cat>
            <c:numRef>
              <c:f>'1.2-1.4 Household Projections'!$B$38:$B$58</c:f>
              <c:numCache>
                <c:formatCode>General</c:formatCode>
                <c:ptCount val="21"/>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pt idx="15">
                  <c:v>2016</c:v>
                </c:pt>
                <c:pt idx="16">
                  <c:v>2017</c:v>
                </c:pt>
                <c:pt idx="17">
                  <c:v>2018</c:v>
                </c:pt>
                <c:pt idx="18">
                  <c:v>2019</c:v>
                </c:pt>
                <c:pt idx="19">
                  <c:v>2020</c:v>
                </c:pt>
                <c:pt idx="20">
                  <c:v>2021</c:v>
                </c:pt>
              </c:numCache>
            </c:numRef>
          </c:cat>
          <c:val>
            <c:numRef>
              <c:f>'1.2-1.4 Household Projections'!$E$38:$E$58</c:f>
              <c:numCache>
                <c:formatCode>0.00%</c:formatCode>
                <c:ptCount val="21"/>
                <c:pt idx="1">
                  <c:v>-4.2194092827005196E-3</c:v>
                </c:pt>
                <c:pt idx="2">
                  <c:v>4.2372881355933183E-3</c:v>
                </c:pt>
                <c:pt idx="3">
                  <c:v>-8.4388185654008518E-3</c:v>
                </c:pt>
                <c:pt idx="4">
                  <c:v>-8.5106382978723475E-3</c:v>
                </c:pt>
                <c:pt idx="5">
                  <c:v>-8.5836909871244704E-3</c:v>
                </c:pt>
                <c:pt idx="6">
                  <c:v>-4.3290043290044287E-3</c:v>
                </c:pt>
                <c:pt idx="7">
                  <c:v>4.3478260869566224E-3</c:v>
                </c:pt>
                <c:pt idx="8">
                  <c:v>0</c:v>
                </c:pt>
                <c:pt idx="9">
                  <c:v>-4.3290043290044287E-3</c:v>
                </c:pt>
                <c:pt idx="10">
                  <c:v>-8.6956521739130523E-3</c:v>
                </c:pt>
                <c:pt idx="11">
                  <c:v>-1.7543859649122629E-2</c:v>
                </c:pt>
                <c:pt idx="12">
                  <c:v>8.9285714285712373E-3</c:v>
                </c:pt>
                <c:pt idx="13">
                  <c:v>-8.8495575221237063E-3</c:v>
                </c:pt>
                <c:pt idx="14">
                  <c:v>0</c:v>
                </c:pt>
                <c:pt idx="15">
                  <c:v>0</c:v>
                </c:pt>
                <c:pt idx="16">
                  <c:v>-8.928571428571435E-3</c:v>
                </c:pt>
                <c:pt idx="17">
                  <c:v>-1.3513513513513624E-2</c:v>
                </c:pt>
                <c:pt idx="18">
                  <c:v>-4.5662100456620031E-3</c:v>
                </c:pt>
                <c:pt idx="19">
                  <c:v>-4.5871559633028575E-3</c:v>
                </c:pt>
                <c:pt idx="20">
                  <c:v>-9.2165898617511607E-3</c:v>
                </c:pt>
              </c:numCache>
            </c:numRef>
          </c:val>
          <c:smooth val="0"/>
          <c:extLst>
            <c:ext xmlns:c16="http://schemas.microsoft.com/office/drawing/2014/chart" uri="{C3380CC4-5D6E-409C-BE32-E72D297353CC}">
              <c16:uniqueId val="{00000000-B37C-4482-A788-FCA25FD6DCD0}"/>
            </c:ext>
          </c:extLst>
        </c:ser>
        <c:ser>
          <c:idx val="1"/>
          <c:order val="1"/>
          <c:tx>
            <c:strRef>
              <c:f>'1.2-1.4 Household Projections'!$F$37</c:f>
              <c:strCache>
                <c:ptCount val="1"/>
                <c:pt idx="0">
                  <c:v>Scotland Change (%)</c:v>
                </c:pt>
              </c:strCache>
            </c:strRef>
          </c:tx>
          <c:spPr>
            <a:ln w="28575" cap="rnd">
              <a:solidFill>
                <a:schemeClr val="accent2"/>
              </a:solidFill>
              <a:round/>
            </a:ln>
            <a:effectLst/>
          </c:spPr>
          <c:marker>
            <c:symbol val="none"/>
          </c:marker>
          <c:cat>
            <c:numRef>
              <c:f>'1.2-1.4 Household Projections'!$B$38:$B$58</c:f>
              <c:numCache>
                <c:formatCode>General</c:formatCode>
                <c:ptCount val="21"/>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pt idx="15">
                  <c:v>2016</c:v>
                </c:pt>
                <c:pt idx="16">
                  <c:v>2017</c:v>
                </c:pt>
                <c:pt idx="17">
                  <c:v>2018</c:v>
                </c:pt>
                <c:pt idx="18">
                  <c:v>2019</c:v>
                </c:pt>
                <c:pt idx="19">
                  <c:v>2020</c:v>
                </c:pt>
                <c:pt idx="20">
                  <c:v>2021</c:v>
                </c:pt>
              </c:numCache>
            </c:numRef>
          </c:cat>
          <c:val>
            <c:numRef>
              <c:f>'1.2-1.4 Household Projections'!$F$38:$F$58</c:f>
              <c:numCache>
                <c:formatCode>0.00%</c:formatCode>
                <c:ptCount val="21"/>
                <c:pt idx="1">
                  <c:v>-8.8105726872246774E-3</c:v>
                </c:pt>
                <c:pt idx="2">
                  <c:v>-8.8888888888888976E-3</c:v>
                </c:pt>
                <c:pt idx="3">
                  <c:v>-4.4843049327353305E-3</c:v>
                </c:pt>
                <c:pt idx="4">
                  <c:v>-4.5045045045046085E-3</c:v>
                </c:pt>
                <c:pt idx="5">
                  <c:v>-4.5248868778279576E-3</c:v>
                </c:pt>
                <c:pt idx="6">
                  <c:v>-4.5454545454546502E-3</c:v>
                </c:pt>
                <c:pt idx="7">
                  <c:v>-4.5662100456620031E-3</c:v>
                </c:pt>
                <c:pt idx="8">
                  <c:v>0</c:v>
                </c:pt>
                <c:pt idx="9">
                  <c:v>0</c:v>
                </c:pt>
                <c:pt idx="10">
                  <c:v>4.5871559633026545E-3</c:v>
                </c:pt>
                <c:pt idx="11">
                  <c:v>-4.5662100456620031E-3</c:v>
                </c:pt>
                <c:pt idx="12">
                  <c:v>0</c:v>
                </c:pt>
                <c:pt idx="13">
                  <c:v>-4.5871559633028575E-3</c:v>
                </c:pt>
                <c:pt idx="14">
                  <c:v>0</c:v>
                </c:pt>
                <c:pt idx="15">
                  <c:v>0</c:v>
                </c:pt>
                <c:pt idx="16">
                  <c:v>-4.608294930875478E-3</c:v>
                </c:pt>
                <c:pt idx="17">
                  <c:v>-4.6296296296297361E-3</c:v>
                </c:pt>
                <c:pt idx="18">
                  <c:v>0</c:v>
                </c:pt>
                <c:pt idx="19">
                  <c:v>-4.6511627906975755E-3</c:v>
                </c:pt>
                <c:pt idx="20">
                  <c:v>-9.3457943925233725E-3</c:v>
                </c:pt>
              </c:numCache>
            </c:numRef>
          </c:val>
          <c:smooth val="0"/>
          <c:extLst>
            <c:ext xmlns:c16="http://schemas.microsoft.com/office/drawing/2014/chart" uri="{C3380CC4-5D6E-409C-BE32-E72D297353CC}">
              <c16:uniqueId val="{00000001-B37C-4482-A788-FCA25FD6DCD0}"/>
            </c:ext>
          </c:extLst>
        </c:ser>
        <c:dLbls>
          <c:showLegendKey val="0"/>
          <c:showVal val="0"/>
          <c:showCatName val="0"/>
          <c:showSerName val="0"/>
          <c:showPercent val="0"/>
          <c:showBubbleSize val="0"/>
        </c:dLbls>
        <c:smooth val="0"/>
        <c:axId val="711680048"/>
        <c:axId val="711680376"/>
      </c:lineChart>
      <c:catAx>
        <c:axId val="71168004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1680376"/>
        <c:crosses val="autoZero"/>
        <c:auto val="1"/>
        <c:lblAlgn val="ctr"/>
        <c:lblOffset val="100"/>
        <c:noMultiLvlLbl val="0"/>
      </c:catAx>
      <c:valAx>
        <c:axId val="7116803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16800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Projected Principal</a:t>
            </a:r>
            <a:r>
              <a:rPr lang="en-GB" baseline="0"/>
              <a:t> </a:t>
            </a:r>
            <a:r>
              <a:rPr lang="en-GB"/>
              <a:t>% Change in Household by Age Group 2018 to 2043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'1.2-1.4 Household Projections'!$C$115</c:f>
              <c:strCache>
                <c:ptCount val="1"/>
                <c:pt idx="0">
                  <c:v>Moray % Change 18-43</c:v>
                </c:pt>
              </c:strCache>
            </c:strRef>
          </c:tx>
          <c:spPr>
            <a:ln w="28575" cap="rnd">
              <a:solidFill>
                <a:schemeClr val="accent1"/>
              </a:solidFill>
              <a:round/>
            </a:ln>
            <a:effectLst/>
          </c:spPr>
          <c:marker>
            <c:symbol val="none"/>
          </c:marker>
          <c:cat>
            <c:strRef>
              <c:f>'1.2-1.4 Household Projections'!$B$116:$B$121</c:f>
              <c:strCache>
                <c:ptCount val="6"/>
                <c:pt idx="0">
                  <c:v>16 to 29</c:v>
                </c:pt>
                <c:pt idx="1">
                  <c:v>30 to 44</c:v>
                </c:pt>
                <c:pt idx="2">
                  <c:v>45 to 59</c:v>
                </c:pt>
                <c:pt idx="3">
                  <c:v>60 to 74</c:v>
                </c:pt>
                <c:pt idx="4">
                  <c:v>75+</c:v>
                </c:pt>
                <c:pt idx="5">
                  <c:v>Total Households</c:v>
                </c:pt>
              </c:strCache>
            </c:strRef>
          </c:cat>
          <c:val>
            <c:numRef>
              <c:f>'1.2-1.4 Household Projections'!$C$116:$C$121</c:f>
              <c:numCache>
                <c:formatCode>0%</c:formatCode>
                <c:ptCount val="6"/>
                <c:pt idx="0">
                  <c:v>-0.17378497790868924</c:v>
                </c:pt>
                <c:pt idx="1">
                  <c:v>-4.8019746437787503E-2</c:v>
                </c:pt>
                <c:pt idx="2">
                  <c:v>-0.13582238611047093</c:v>
                </c:pt>
                <c:pt idx="3">
                  <c:v>6.0747190442442039E-4</c:v>
                </c:pt>
                <c:pt idx="4">
                  <c:v>0.83718715995647441</c:v>
                </c:pt>
                <c:pt idx="5">
                  <c:v>7.9310993091131265E-2</c:v>
                </c:pt>
              </c:numCache>
            </c:numRef>
          </c:val>
          <c:smooth val="0"/>
          <c:extLst>
            <c:ext xmlns:c16="http://schemas.microsoft.com/office/drawing/2014/chart" uri="{C3380CC4-5D6E-409C-BE32-E72D297353CC}">
              <c16:uniqueId val="{00000000-FE27-4214-956B-B1917FD4E092}"/>
            </c:ext>
          </c:extLst>
        </c:ser>
        <c:ser>
          <c:idx val="1"/>
          <c:order val="1"/>
          <c:tx>
            <c:strRef>
              <c:f>'1.2-1.4 Household Projections'!$D$115</c:f>
              <c:strCache>
                <c:ptCount val="1"/>
                <c:pt idx="0">
                  <c:v>Scotland % Change 18-43</c:v>
                </c:pt>
              </c:strCache>
            </c:strRef>
          </c:tx>
          <c:spPr>
            <a:ln w="28575" cap="rnd">
              <a:solidFill>
                <a:schemeClr val="accent2"/>
              </a:solidFill>
              <a:round/>
            </a:ln>
            <a:effectLst/>
          </c:spPr>
          <c:marker>
            <c:symbol val="none"/>
          </c:marker>
          <c:cat>
            <c:strRef>
              <c:f>'1.2-1.4 Household Projections'!$B$116:$B$121</c:f>
              <c:strCache>
                <c:ptCount val="6"/>
                <c:pt idx="0">
                  <c:v>16 to 29</c:v>
                </c:pt>
                <c:pt idx="1">
                  <c:v>30 to 44</c:v>
                </c:pt>
                <c:pt idx="2">
                  <c:v>45 to 59</c:v>
                </c:pt>
                <c:pt idx="3">
                  <c:v>60 to 74</c:v>
                </c:pt>
                <c:pt idx="4">
                  <c:v>75+</c:v>
                </c:pt>
                <c:pt idx="5">
                  <c:v>Total Households</c:v>
                </c:pt>
              </c:strCache>
            </c:strRef>
          </c:cat>
          <c:val>
            <c:numRef>
              <c:f>'1.2-1.4 Household Projections'!$D$116:$D$121</c:f>
              <c:numCache>
                <c:formatCode>0%</c:formatCode>
                <c:ptCount val="6"/>
                <c:pt idx="0">
                  <c:v>-0.11623970687344587</c:v>
                </c:pt>
                <c:pt idx="1">
                  <c:v>2.1403507568403757E-2</c:v>
                </c:pt>
                <c:pt idx="2">
                  <c:v>-2.6666451397634194E-2</c:v>
                </c:pt>
                <c:pt idx="3">
                  <c:v>3.0474281247545563E-2</c:v>
                </c:pt>
                <c:pt idx="4">
                  <c:v>0.70832774686599187</c:v>
                </c:pt>
                <c:pt idx="5">
                  <c:v>9.3866080215591813E-2</c:v>
                </c:pt>
              </c:numCache>
            </c:numRef>
          </c:val>
          <c:smooth val="0"/>
          <c:extLst>
            <c:ext xmlns:c16="http://schemas.microsoft.com/office/drawing/2014/chart" uri="{C3380CC4-5D6E-409C-BE32-E72D297353CC}">
              <c16:uniqueId val="{00000001-FE27-4214-956B-B1917FD4E092}"/>
            </c:ext>
          </c:extLst>
        </c:ser>
        <c:dLbls>
          <c:showLegendKey val="0"/>
          <c:showVal val="0"/>
          <c:showCatName val="0"/>
          <c:showSerName val="0"/>
          <c:showPercent val="0"/>
          <c:showBubbleSize val="0"/>
        </c:dLbls>
        <c:smooth val="0"/>
        <c:axId val="722754752"/>
        <c:axId val="722758360"/>
      </c:lineChart>
      <c:catAx>
        <c:axId val="72275475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2758360"/>
        <c:crosses val="autoZero"/>
        <c:auto val="1"/>
        <c:lblAlgn val="ctr"/>
        <c:lblOffset val="100"/>
        <c:noMultiLvlLbl val="0"/>
      </c:catAx>
      <c:valAx>
        <c:axId val="7227583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27547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Projected Principal % Change</a:t>
            </a:r>
            <a:r>
              <a:rPr lang="en-GB" baseline="0"/>
              <a:t> in Household by Composition 2018-2038</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'1.2-1.4 Household Projections'!$C$152</c:f>
              <c:strCache>
                <c:ptCount val="1"/>
                <c:pt idx="0">
                  <c:v>Moray % Change 18-38</c:v>
                </c:pt>
              </c:strCache>
            </c:strRef>
          </c:tx>
          <c:spPr>
            <a:ln w="28575" cap="rnd">
              <a:solidFill>
                <a:schemeClr val="accent1"/>
              </a:solidFill>
              <a:round/>
            </a:ln>
            <a:effectLst/>
          </c:spPr>
          <c:marker>
            <c:symbol val="none"/>
          </c:marker>
          <c:cat>
            <c:strRef>
              <c:f>'1.2-1.4 Household Projections'!$B$153:$B$157</c:f>
              <c:strCache>
                <c:ptCount val="5"/>
                <c:pt idx="0">
                  <c:v>Single Person</c:v>
                </c:pt>
                <c:pt idx="1">
                  <c:v>1 adult &amp; 1+ children</c:v>
                </c:pt>
                <c:pt idx="2">
                  <c:v>2 adults</c:v>
                </c:pt>
                <c:pt idx="3">
                  <c:v>2+ adults &amp; 1+ children</c:v>
                </c:pt>
                <c:pt idx="4">
                  <c:v>3+ adults</c:v>
                </c:pt>
              </c:strCache>
            </c:strRef>
          </c:cat>
          <c:val>
            <c:numRef>
              <c:f>'1.2-1.4 Household Projections'!$C$153:$C$157</c:f>
              <c:numCache>
                <c:formatCode>0%</c:formatCode>
                <c:ptCount val="5"/>
                <c:pt idx="0">
                  <c:v>0.16513968158606188</c:v>
                </c:pt>
                <c:pt idx="1">
                  <c:v>1.4388489208633094E-2</c:v>
                </c:pt>
                <c:pt idx="2">
                  <c:v>0.11196678497287886</c:v>
                </c:pt>
                <c:pt idx="3">
                  <c:v>-8.0964891330308097E-2</c:v>
                </c:pt>
                <c:pt idx="4">
                  <c:v>-4.0244969378827648E-2</c:v>
                </c:pt>
              </c:numCache>
            </c:numRef>
          </c:val>
          <c:smooth val="0"/>
          <c:extLst>
            <c:ext xmlns:c16="http://schemas.microsoft.com/office/drawing/2014/chart" uri="{C3380CC4-5D6E-409C-BE32-E72D297353CC}">
              <c16:uniqueId val="{00000000-573D-4E6B-B379-3584C1CCCDAD}"/>
            </c:ext>
          </c:extLst>
        </c:ser>
        <c:ser>
          <c:idx val="1"/>
          <c:order val="1"/>
          <c:tx>
            <c:strRef>
              <c:f>'1.2-1.4 Household Projections'!$D$152</c:f>
              <c:strCache>
                <c:ptCount val="1"/>
                <c:pt idx="0">
                  <c:v>Scotland % Change 18-38</c:v>
                </c:pt>
              </c:strCache>
            </c:strRef>
          </c:tx>
          <c:spPr>
            <a:ln w="28575" cap="rnd">
              <a:solidFill>
                <a:schemeClr val="accent2"/>
              </a:solidFill>
              <a:round/>
            </a:ln>
            <a:effectLst/>
          </c:spPr>
          <c:marker>
            <c:symbol val="none"/>
          </c:marker>
          <c:cat>
            <c:strRef>
              <c:f>'1.2-1.4 Household Projections'!$B$153:$B$157</c:f>
              <c:strCache>
                <c:ptCount val="5"/>
                <c:pt idx="0">
                  <c:v>Single Person</c:v>
                </c:pt>
                <c:pt idx="1">
                  <c:v>1 adult &amp; 1+ children</c:v>
                </c:pt>
                <c:pt idx="2">
                  <c:v>2 adults</c:v>
                </c:pt>
                <c:pt idx="3">
                  <c:v>2+ adults &amp; 1+ children</c:v>
                </c:pt>
                <c:pt idx="4">
                  <c:v>3+ adults</c:v>
                </c:pt>
              </c:strCache>
            </c:strRef>
          </c:cat>
          <c:val>
            <c:numRef>
              <c:f>'1.2-1.4 Household Projections'!$D$153:$D$157</c:f>
              <c:numCache>
                <c:formatCode>0%</c:formatCode>
                <c:ptCount val="5"/>
                <c:pt idx="0">
                  <c:v>0.13827691004797873</c:v>
                </c:pt>
                <c:pt idx="1">
                  <c:v>1.375820250313863E-2</c:v>
                </c:pt>
                <c:pt idx="2">
                  <c:v>0.11067666649455259</c:v>
                </c:pt>
                <c:pt idx="3">
                  <c:v>-3.6699225812537478E-3</c:v>
                </c:pt>
                <c:pt idx="4">
                  <c:v>-1.9520226895275078E-2</c:v>
                </c:pt>
              </c:numCache>
            </c:numRef>
          </c:val>
          <c:smooth val="0"/>
          <c:extLst>
            <c:ext xmlns:c16="http://schemas.microsoft.com/office/drawing/2014/chart" uri="{C3380CC4-5D6E-409C-BE32-E72D297353CC}">
              <c16:uniqueId val="{00000001-573D-4E6B-B379-3584C1CCCDAD}"/>
            </c:ext>
          </c:extLst>
        </c:ser>
        <c:dLbls>
          <c:showLegendKey val="0"/>
          <c:showVal val="0"/>
          <c:showCatName val="0"/>
          <c:showSerName val="0"/>
          <c:showPercent val="0"/>
          <c:showBubbleSize val="0"/>
        </c:dLbls>
        <c:smooth val="0"/>
        <c:axId val="722967088"/>
        <c:axId val="722967744"/>
      </c:lineChart>
      <c:catAx>
        <c:axId val="72296708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2967744"/>
        <c:crosses val="autoZero"/>
        <c:auto val="1"/>
        <c:lblAlgn val="ctr"/>
        <c:lblOffset val="100"/>
        <c:noMultiLvlLbl val="0"/>
      </c:catAx>
      <c:valAx>
        <c:axId val="7229677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2967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baseline="0">
                <a:effectLst/>
              </a:rPr>
              <a:t>Projected Low % Change in Household by Composition 2018-2038</a:t>
            </a:r>
            <a:endParaRPr lang="en-GB" sz="11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'1.2-1.4 Household Projections'!$C$188</c:f>
              <c:strCache>
                <c:ptCount val="1"/>
                <c:pt idx="0">
                  <c:v>Moray % Change 18-38</c:v>
                </c:pt>
              </c:strCache>
            </c:strRef>
          </c:tx>
          <c:spPr>
            <a:ln w="28575" cap="rnd">
              <a:solidFill>
                <a:schemeClr val="accent1"/>
              </a:solidFill>
              <a:round/>
            </a:ln>
            <a:effectLst/>
          </c:spPr>
          <c:marker>
            <c:symbol val="none"/>
          </c:marker>
          <c:cat>
            <c:strRef>
              <c:f>'1.2-1.4 Household Projections'!$B$189:$B$193</c:f>
              <c:strCache>
                <c:ptCount val="5"/>
                <c:pt idx="0">
                  <c:v>Single Person</c:v>
                </c:pt>
                <c:pt idx="1">
                  <c:v>1 adult &amp; 1+ children</c:v>
                </c:pt>
                <c:pt idx="2">
                  <c:v>2 adults</c:v>
                </c:pt>
                <c:pt idx="3">
                  <c:v>2+ adults &amp; 1+ children</c:v>
                </c:pt>
                <c:pt idx="4">
                  <c:v>3+ adults</c:v>
                </c:pt>
              </c:strCache>
            </c:strRef>
          </c:cat>
          <c:val>
            <c:numRef>
              <c:f>'1.2-1.4 Household Projections'!$C$189:$C$193</c:f>
              <c:numCache>
                <c:formatCode>0%</c:formatCode>
                <c:ptCount val="5"/>
                <c:pt idx="0">
                  <c:v>0.1578552117753079</c:v>
                </c:pt>
                <c:pt idx="1">
                  <c:v>-2.7977617905675461E-3</c:v>
                </c:pt>
                <c:pt idx="2">
                  <c:v>0.10607379629009576</c:v>
                </c:pt>
                <c:pt idx="3">
                  <c:v>-9.3623119178409361E-2</c:v>
                </c:pt>
                <c:pt idx="4">
                  <c:v>-4.5202682997958592E-2</c:v>
                </c:pt>
              </c:numCache>
            </c:numRef>
          </c:val>
          <c:smooth val="0"/>
          <c:extLst>
            <c:ext xmlns:c16="http://schemas.microsoft.com/office/drawing/2014/chart" uri="{C3380CC4-5D6E-409C-BE32-E72D297353CC}">
              <c16:uniqueId val="{00000000-F8FB-4FBD-9E5F-A563D668A0B0}"/>
            </c:ext>
          </c:extLst>
        </c:ser>
        <c:ser>
          <c:idx val="1"/>
          <c:order val="1"/>
          <c:tx>
            <c:strRef>
              <c:f>'1.2-1.4 Household Projections'!$D$188</c:f>
              <c:strCache>
                <c:ptCount val="1"/>
                <c:pt idx="0">
                  <c:v>Scotland % Change 18-38</c:v>
                </c:pt>
              </c:strCache>
            </c:strRef>
          </c:tx>
          <c:spPr>
            <a:ln w="28575" cap="rnd">
              <a:solidFill>
                <a:schemeClr val="accent2"/>
              </a:solidFill>
              <a:round/>
            </a:ln>
            <a:effectLst/>
          </c:spPr>
          <c:marker>
            <c:symbol val="none"/>
          </c:marker>
          <c:cat>
            <c:strRef>
              <c:f>'1.2-1.4 Household Projections'!$B$189:$B$193</c:f>
              <c:strCache>
                <c:ptCount val="5"/>
                <c:pt idx="0">
                  <c:v>Single Person</c:v>
                </c:pt>
                <c:pt idx="1">
                  <c:v>1 adult &amp; 1+ children</c:v>
                </c:pt>
                <c:pt idx="2">
                  <c:v>2 adults</c:v>
                </c:pt>
                <c:pt idx="3">
                  <c:v>2+ adults &amp; 1+ children</c:v>
                </c:pt>
                <c:pt idx="4">
                  <c:v>3+ adults</c:v>
                </c:pt>
              </c:strCache>
            </c:strRef>
          </c:cat>
          <c:val>
            <c:numRef>
              <c:f>'1.2-1.4 Household Projections'!$D$189:$D$193</c:f>
              <c:numCache>
                <c:formatCode>0%</c:formatCode>
                <c:ptCount val="5"/>
                <c:pt idx="0">
                  <c:v>0.12592543635115108</c:v>
                </c:pt>
                <c:pt idx="1">
                  <c:v>-1.1745596210346479E-2</c:v>
                </c:pt>
                <c:pt idx="2">
                  <c:v>9.971988433934012E-2</c:v>
                </c:pt>
                <c:pt idx="3">
                  <c:v>-2.6118439227294881E-2</c:v>
                </c:pt>
                <c:pt idx="4">
                  <c:v>-2.878067583194141E-2</c:v>
                </c:pt>
              </c:numCache>
            </c:numRef>
          </c:val>
          <c:smooth val="0"/>
          <c:extLst>
            <c:ext xmlns:c16="http://schemas.microsoft.com/office/drawing/2014/chart" uri="{C3380CC4-5D6E-409C-BE32-E72D297353CC}">
              <c16:uniqueId val="{00000001-F8FB-4FBD-9E5F-A563D668A0B0}"/>
            </c:ext>
          </c:extLst>
        </c:ser>
        <c:dLbls>
          <c:showLegendKey val="0"/>
          <c:showVal val="0"/>
          <c:showCatName val="0"/>
          <c:showSerName val="0"/>
          <c:showPercent val="0"/>
          <c:showBubbleSize val="0"/>
        </c:dLbls>
        <c:smooth val="0"/>
        <c:axId val="722963152"/>
        <c:axId val="722965776"/>
      </c:lineChart>
      <c:catAx>
        <c:axId val="72296315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2965776"/>
        <c:crosses val="autoZero"/>
        <c:auto val="1"/>
        <c:lblAlgn val="ctr"/>
        <c:lblOffset val="100"/>
        <c:noMultiLvlLbl val="0"/>
      </c:catAx>
      <c:valAx>
        <c:axId val="72296577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29631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baseline="0">
                <a:effectLst/>
              </a:rPr>
              <a:t>Projected High % Change in Household by Composition 2018-2038</a:t>
            </a:r>
            <a:endParaRPr lang="en-GB" sz="11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'1.2-1.4 Household Projections'!$C$225</c:f>
              <c:strCache>
                <c:ptCount val="1"/>
                <c:pt idx="0">
                  <c:v>Moray % Change 18-38</c:v>
                </c:pt>
              </c:strCache>
            </c:strRef>
          </c:tx>
          <c:spPr>
            <a:ln w="28575" cap="rnd">
              <a:solidFill>
                <a:schemeClr val="accent1"/>
              </a:solidFill>
              <a:round/>
            </a:ln>
            <a:effectLst/>
          </c:spPr>
          <c:marker>
            <c:symbol val="none"/>
          </c:marker>
          <c:cat>
            <c:strRef>
              <c:f>'1.2-1.4 Household Projections'!$B$226:$B$230</c:f>
              <c:strCache>
                <c:ptCount val="5"/>
                <c:pt idx="0">
                  <c:v>Single Person</c:v>
                </c:pt>
                <c:pt idx="1">
                  <c:v>1 adult &amp; 1+ children</c:v>
                </c:pt>
                <c:pt idx="2">
                  <c:v>2 adults</c:v>
                </c:pt>
                <c:pt idx="3">
                  <c:v>2+ adults &amp; 1+ children</c:v>
                </c:pt>
                <c:pt idx="4">
                  <c:v>3+ adults</c:v>
                </c:pt>
              </c:strCache>
            </c:strRef>
          </c:cat>
          <c:val>
            <c:numRef>
              <c:f>'1.2-1.4 Household Projections'!$C$226:$C$230</c:f>
              <c:numCache>
                <c:formatCode>0%</c:formatCode>
                <c:ptCount val="5"/>
                <c:pt idx="0">
                  <c:v>0.17325022529288076</c:v>
                </c:pt>
                <c:pt idx="1">
                  <c:v>3.796962430055955E-2</c:v>
                </c:pt>
                <c:pt idx="2">
                  <c:v>0.11792673943614813</c:v>
                </c:pt>
                <c:pt idx="3">
                  <c:v>-6.2455218533556248E-2</c:v>
                </c:pt>
                <c:pt idx="4">
                  <c:v>-3.3245844269466314E-2</c:v>
                </c:pt>
              </c:numCache>
            </c:numRef>
          </c:val>
          <c:smooth val="0"/>
          <c:extLst>
            <c:ext xmlns:c16="http://schemas.microsoft.com/office/drawing/2014/chart" uri="{C3380CC4-5D6E-409C-BE32-E72D297353CC}">
              <c16:uniqueId val="{00000000-4F4E-4D51-8753-F49B744F3543}"/>
            </c:ext>
          </c:extLst>
        </c:ser>
        <c:ser>
          <c:idx val="1"/>
          <c:order val="1"/>
          <c:tx>
            <c:strRef>
              <c:f>'1.2-1.4 Household Projections'!$D$225</c:f>
              <c:strCache>
                <c:ptCount val="1"/>
                <c:pt idx="0">
                  <c:v>Scotland % Change 18-38</c:v>
                </c:pt>
              </c:strCache>
            </c:strRef>
          </c:tx>
          <c:spPr>
            <a:ln w="28575" cap="rnd">
              <a:solidFill>
                <a:schemeClr val="accent2"/>
              </a:solidFill>
              <a:round/>
            </a:ln>
            <a:effectLst/>
          </c:spPr>
          <c:marker>
            <c:symbol val="none"/>
          </c:marker>
          <c:cat>
            <c:strRef>
              <c:f>'1.2-1.4 Household Projections'!$B$226:$B$230</c:f>
              <c:strCache>
                <c:ptCount val="5"/>
                <c:pt idx="0">
                  <c:v>Single Person</c:v>
                </c:pt>
                <c:pt idx="1">
                  <c:v>1 adult &amp; 1+ children</c:v>
                </c:pt>
                <c:pt idx="2">
                  <c:v>2 adults</c:v>
                </c:pt>
                <c:pt idx="3">
                  <c:v>2+ adults &amp; 1+ children</c:v>
                </c:pt>
                <c:pt idx="4">
                  <c:v>3+ adults</c:v>
                </c:pt>
              </c:strCache>
            </c:strRef>
          </c:cat>
          <c:val>
            <c:numRef>
              <c:f>'1.2-1.4 Household Projections'!$D$226:$D$230</c:f>
              <c:numCache>
                <c:formatCode>0%</c:formatCode>
                <c:ptCount val="5"/>
                <c:pt idx="0">
                  <c:v>0.15104174251445354</c:v>
                </c:pt>
                <c:pt idx="1">
                  <c:v>3.9928555712307315E-2</c:v>
                </c:pt>
                <c:pt idx="2">
                  <c:v>0.12186451179841999</c:v>
                </c:pt>
                <c:pt idx="3">
                  <c:v>1.9304152133339022E-2</c:v>
                </c:pt>
                <c:pt idx="4">
                  <c:v>-9.983772800167507E-3</c:v>
                </c:pt>
              </c:numCache>
            </c:numRef>
          </c:val>
          <c:smooth val="0"/>
          <c:extLst>
            <c:ext xmlns:c16="http://schemas.microsoft.com/office/drawing/2014/chart" uri="{C3380CC4-5D6E-409C-BE32-E72D297353CC}">
              <c16:uniqueId val="{00000001-4F4E-4D51-8753-F49B744F3543}"/>
            </c:ext>
          </c:extLst>
        </c:ser>
        <c:dLbls>
          <c:showLegendKey val="0"/>
          <c:showVal val="0"/>
          <c:showCatName val="0"/>
          <c:showSerName val="0"/>
          <c:showPercent val="0"/>
          <c:showBubbleSize val="0"/>
        </c:dLbls>
        <c:smooth val="0"/>
        <c:axId val="866653888"/>
        <c:axId val="866656184"/>
      </c:lineChart>
      <c:catAx>
        <c:axId val="86665388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6656184"/>
        <c:crosses val="autoZero"/>
        <c:auto val="1"/>
        <c:lblAlgn val="ctr"/>
        <c:lblOffset val="100"/>
        <c:noMultiLvlLbl val="0"/>
      </c:catAx>
      <c:valAx>
        <c:axId val="86665618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66538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Change in Household</a:t>
            </a:r>
            <a:r>
              <a:rPr lang="en-US" baseline="0"/>
              <a:t> Composition 2011 - 2020 </a:t>
            </a:r>
            <a:r>
              <a:rPr lang="en-US"/>
              <a:t>Moray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'1.2-1.4 Household Projections'!$C$27</c:f>
              <c:strCache>
                <c:ptCount val="1"/>
                <c:pt idx="0">
                  <c:v>Moray</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'1.2-1.4 Household Projections'!$B$28:$B$32</c:f>
              <c:strCache>
                <c:ptCount val="5"/>
                <c:pt idx="0">
                  <c:v>1 adult</c:v>
                </c:pt>
                <c:pt idx="1">
                  <c:v>2 adults</c:v>
                </c:pt>
                <c:pt idx="2">
                  <c:v>1 adult, 1+ children</c:v>
                </c:pt>
                <c:pt idx="3">
                  <c:v>2 adults, 1+children</c:v>
                </c:pt>
                <c:pt idx="4">
                  <c:v>3+ adults</c:v>
                </c:pt>
              </c:strCache>
            </c:strRef>
          </c:cat>
          <c:val>
            <c:numRef>
              <c:f>'1.2-1.4 Household Projections'!$C$28:$C$32</c:f>
              <c:numCache>
                <c:formatCode>0%</c:formatCode>
                <c:ptCount val="5"/>
                <c:pt idx="0">
                  <c:v>0.13108769600929229</c:v>
                </c:pt>
                <c:pt idx="1">
                  <c:v>0.26476933289080651</c:v>
                </c:pt>
                <c:pt idx="2">
                  <c:v>-0.27797537619699042</c:v>
                </c:pt>
                <c:pt idx="3">
                  <c:v>-0.22036301758366422</c:v>
                </c:pt>
                <c:pt idx="4">
                  <c:v>-0.29671457905544146</c:v>
                </c:pt>
              </c:numCache>
            </c:numRef>
          </c:val>
          <c:extLst>
            <c:ext xmlns:c16="http://schemas.microsoft.com/office/drawing/2014/chart" uri="{C3380CC4-5D6E-409C-BE32-E72D297353CC}">
              <c16:uniqueId val="{00000000-CEC1-491F-8C45-4623E13A1D1E}"/>
            </c:ext>
          </c:extLst>
        </c:ser>
        <c:dLbls>
          <c:showLegendKey val="0"/>
          <c:showVal val="0"/>
          <c:showCatName val="0"/>
          <c:showSerName val="0"/>
          <c:showPercent val="0"/>
          <c:showBubbleSize val="0"/>
        </c:dLbls>
        <c:gapWidth val="219"/>
        <c:overlap val="-27"/>
        <c:axId val="1057257688"/>
        <c:axId val="1057255064"/>
      </c:barChart>
      <c:catAx>
        <c:axId val="105725768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7255064"/>
        <c:crosses val="autoZero"/>
        <c:auto val="1"/>
        <c:lblAlgn val="ctr"/>
        <c:lblOffset val="100"/>
        <c:noMultiLvlLbl val="0"/>
      </c:catAx>
      <c:valAx>
        <c:axId val="10572550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72576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Moray Household Population Projections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'1.2-1.4 Household Projections'!$C$241</c:f>
              <c:strCache>
                <c:ptCount val="1"/>
                <c:pt idx="0">
                  <c:v>Moray Low Migration</c:v>
                </c:pt>
              </c:strCache>
            </c:strRef>
          </c:tx>
          <c:spPr>
            <a:ln w="28575" cap="rnd">
              <a:solidFill>
                <a:schemeClr val="accent1"/>
              </a:solidFill>
              <a:round/>
            </a:ln>
            <a:effectLst/>
          </c:spPr>
          <c:marker>
            <c:symbol val="none"/>
          </c:marker>
          <c:dLbls>
            <c:dLbl>
              <c:idx val="20"/>
              <c:layout>
                <c:manualLayout>
                  <c:x val="-1.5906431107869149E-3"/>
                  <c:y val="-2.27381197800157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259-43AF-9756-BEA2752DE9D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'1.2-1.4 Household Projections'!$B$242:$B$262</c:f>
              <c:numCache>
                <c:formatCode>General</c:formatCode>
                <c:ptCount val="21"/>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numCache>
            </c:numRef>
          </c:cat>
          <c:val>
            <c:numRef>
              <c:f>'1.2-1.4 Household Projections'!$C$242:$C$262</c:f>
              <c:numCache>
                <c:formatCode>#,##0</c:formatCode>
                <c:ptCount val="21"/>
                <c:pt idx="0">
                  <c:v>43651</c:v>
                </c:pt>
                <c:pt idx="1">
                  <c:v>43838</c:v>
                </c:pt>
                <c:pt idx="2">
                  <c:v>44026</c:v>
                </c:pt>
                <c:pt idx="3">
                  <c:v>44168</c:v>
                </c:pt>
                <c:pt idx="4">
                  <c:v>44319</c:v>
                </c:pt>
                <c:pt idx="5">
                  <c:v>44420</c:v>
                </c:pt>
                <c:pt idx="6">
                  <c:v>44529</c:v>
                </c:pt>
                <c:pt idx="7">
                  <c:v>44625</c:v>
                </c:pt>
                <c:pt idx="8">
                  <c:v>44689</c:v>
                </c:pt>
                <c:pt idx="9">
                  <c:v>44760</c:v>
                </c:pt>
                <c:pt idx="10">
                  <c:v>44831</c:v>
                </c:pt>
                <c:pt idx="11">
                  <c:v>44925</c:v>
                </c:pt>
                <c:pt idx="12">
                  <c:v>44978</c:v>
                </c:pt>
                <c:pt idx="13">
                  <c:v>45042</c:v>
                </c:pt>
                <c:pt idx="14">
                  <c:v>45119</c:v>
                </c:pt>
                <c:pt idx="15">
                  <c:v>45204</c:v>
                </c:pt>
                <c:pt idx="16">
                  <c:v>45294</c:v>
                </c:pt>
                <c:pt idx="17">
                  <c:v>45361</c:v>
                </c:pt>
                <c:pt idx="18">
                  <c:v>45403</c:v>
                </c:pt>
                <c:pt idx="19">
                  <c:v>45447</c:v>
                </c:pt>
                <c:pt idx="20">
                  <c:v>45467</c:v>
                </c:pt>
              </c:numCache>
            </c:numRef>
          </c:val>
          <c:smooth val="0"/>
          <c:extLst>
            <c:ext xmlns:c16="http://schemas.microsoft.com/office/drawing/2014/chart" uri="{C3380CC4-5D6E-409C-BE32-E72D297353CC}">
              <c16:uniqueId val="{00000000-3C4A-4F29-86E3-6DECFF334389}"/>
            </c:ext>
          </c:extLst>
        </c:ser>
        <c:ser>
          <c:idx val="1"/>
          <c:order val="1"/>
          <c:tx>
            <c:strRef>
              <c:f>'1.2-1.4 Household Projections'!$D$241</c:f>
              <c:strCache>
                <c:ptCount val="1"/>
                <c:pt idx="0">
                  <c:v>Moray Principal</c:v>
                </c:pt>
              </c:strCache>
            </c:strRef>
          </c:tx>
          <c:spPr>
            <a:ln w="28575" cap="rnd">
              <a:solidFill>
                <a:schemeClr val="accent2"/>
              </a:solidFill>
              <a:round/>
            </a:ln>
            <a:effectLst/>
          </c:spPr>
          <c:marker>
            <c:symbol val="none"/>
          </c:marker>
          <c:dLbls>
            <c:dLbl>
              <c:idx val="20"/>
              <c:layout>
                <c:manualLayout>
                  <c:x val="-4.7719293323608613E-3"/>
                  <c:y val="-2.59864226057322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259-43AF-9756-BEA2752DE9D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'1.2-1.4 Household Projections'!$B$242:$B$262</c:f>
              <c:numCache>
                <c:formatCode>General</c:formatCode>
                <c:ptCount val="21"/>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numCache>
            </c:numRef>
          </c:cat>
          <c:val>
            <c:numRef>
              <c:f>'1.2-1.4 Household Projections'!$D$242:$D$262</c:f>
              <c:numCache>
                <c:formatCode>#,##0</c:formatCode>
                <c:ptCount val="21"/>
                <c:pt idx="0">
                  <c:v>43669</c:v>
                </c:pt>
                <c:pt idx="1">
                  <c:v>43868</c:v>
                </c:pt>
                <c:pt idx="2">
                  <c:v>44071</c:v>
                </c:pt>
                <c:pt idx="3">
                  <c:v>44228</c:v>
                </c:pt>
                <c:pt idx="4">
                  <c:v>44398</c:v>
                </c:pt>
                <c:pt idx="5">
                  <c:v>44520</c:v>
                </c:pt>
                <c:pt idx="6">
                  <c:v>44649</c:v>
                </c:pt>
                <c:pt idx="7">
                  <c:v>44765</c:v>
                </c:pt>
                <c:pt idx="8">
                  <c:v>44848</c:v>
                </c:pt>
                <c:pt idx="9">
                  <c:v>44936</c:v>
                </c:pt>
                <c:pt idx="10">
                  <c:v>45028</c:v>
                </c:pt>
                <c:pt idx="11">
                  <c:v>45141</c:v>
                </c:pt>
                <c:pt idx="12">
                  <c:v>45222</c:v>
                </c:pt>
                <c:pt idx="13">
                  <c:v>45313</c:v>
                </c:pt>
                <c:pt idx="14">
                  <c:v>45415</c:v>
                </c:pt>
                <c:pt idx="15">
                  <c:v>45527</c:v>
                </c:pt>
                <c:pt idx="16">
                  <c:v>45645</c:v>
                </c:pt>
                <c:pt idx="17">
                  <c:v>45740</c:v>
                </c:pt>
                <c:pt idx="18">
                  <c:v>45810</c:v>
                </c:pt>
                <c:pt idx="19">
                  <c:v>45880</c:v>
                </c:pt>
                <c:pt idx="20">
                  <c:v>45927</c:v>
                </c:pt>
              </c:numCache>
            </c:numRef>
          </c:val>
          <c:smooth val="0"/>
          <c:extLst>
            <c:ext xmlns:c16="http://schemas.microsoft.com/office/drawing/2014/chart" uri="{C3380CC4-5D6E-409C-BE32-E72D297353CC}">
              <c16:uniqueId val="{00000001-3C4A-4F29-86E3-6DECFF334389}"/>
            </c:ext>
          </c:extLst>
        </c:ser>
        <c:ser>
          <c:idx val="2"/>
          <c:order val="2"/>
          <c:tx>
            <c:strRef>
              <c:f>'1.2-1.4 Household Projections'!$E$241</c:f>
              <c:strCache>
                <c:ptCount val="1"/>
                <c:pt idx="0">
                  <c:v>Moray High Migration</c:v>
                </c:pt>
              </c:strCache>
            </c:strRef>
          </c:tx>
          <c:spPr>
            <a:ln w="28575" cap="rnd">
              <a:solidFill>
                <a:schemeClr val="accent3"/>
              </a:solidFill>
              <a:round/>
            </a:ln>
            <a:effectLst/>
          </c:spPr>
          <c:marker>
            <c:symbol val="none"/>
          </c:marker>
          <c:dLbls>
            <c:dLbl>
              <c:idx val="0"/>
              <c:layout>
                <c:manualLayout>
                  <c:x val="-2.2269003551016808E-2"/>
                  <c:y val="3.89796339085983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259-43AF-9756-BEA2752DE9D2}"/>
                </c:ext>
              </c:extLst>
            </c:dLbl>
            <c:dLbl>
              <c:idx val="20"/>
              <c:layout>
                <c:manualLayout>
                  <c:x val="-6.3625724431478929E-3"/>
                  <c:y val="-3.24830282571653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259-43AF-9756-BEA2752DE9D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'1.2-1.4 Household Projections'!$B$242:$B$262</c:f>
              <c:numCache>
                <c:formatCode>General</c:formatCode>
                <c:ptCount val="21"/>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numCache>
            </c:numRef>
          </c:cat>
          <c:val>
            <c:numRef>
              <c:f>'1.2-1.4 Household Projections'!$E$242:$E$262</c:f>
              <c:numCache>
                <c:formatCode>#,##0</c:formatCode>
                <c:ptCount val="21"/>
                <c:pt idx="0">
                  <c:v>43691</c:v>
                </c:pt>
                <c:pt idx="1">
                  <c:v>43898</c:v>
                </c:pt>
                <c:pt idx="2">
                  <c:v>44112</c:v>
                </c:pt>
                <c:pt idx="3">
                  <c:v>44293</c:v>
                </c:pt>
                <c:pt idx="4">
                  <c:v>44487</c:v>
                </c:pt>
                <c:pt idx="5">
                  <c:v>44631</c:v>
                </c:pt>
                <c:pt idx="6">
                  <c:v>44783</c:v>
                </c:pt>
                <c:pt idx="7">
                  <c:v>44923</c:v>
                </c:pt>
                <c:pt idx="8">
                  <c:v>45035</c:v>
                </c:pt>
                <c:pt idx="9">
                  <c:v>45156</c:v>
                </c:pt>
                <c:pt idx="10">
                  <c:v>45277</c:v>
                </c:pt>
                <c:pt idx="11">
                  <c:v>45420</c:v>
                </c:pt>
                <c:pt idx="12">
                  <c:v>45530</c:v>
                </c:pt>
                <c:pt idx="13">
                  <c:v>45647</c:v>
                </c:pt>
                <c:pt idx="14">
                  <c:v>45782</c:v>
                </c:pt>
                <c:pt idx="15">
                  <c:v>45930</c:v>
                </c:pt>
                <c:pt idx="16">
                  <c:v>46080</c:v>
                </c:pt>
                <c:pt idx="17">
                  <c:v>46207</c:v>
                </c:pt>
                <c:pt idx="18">
                  <c:v>46312</c:v>
                </c:pt>
                <c:pt idx="19">
                  <c:v>46419</c:v>
                </c:pt>
                <c:pt idx="20">
                  <c:v>46506</c:v>
                </c:pt>
              </c:numCache>
            </c:numRef>
          </c:val>
          <c:smooth val="0"/>
          <c:extLst>
            <c:ext xmlns:c16="http://schemas.microsoft.com/office/drawing/2014/chart" uri="{C3380CC4-5D6E-409C-BE32-E72D297353CC}">
              <c16:uniqueId val="{00000002-3C4A-4F29-86E3-6DECFF334389}"/>
            </c:ext>
          </c:extLst>
        </c:ser>
        <c:dLbls>
          <c:showLegendKey val="0"/>
          <c:showVal val="0"/>
          <c:showCatName val="0"/>
          <c:showSerName val="0"/>
          <c:showPercent val="0"/>
          <c:showBubbleSize val="0"/>
        </c:dLbls>
        <c:smooth val="0"/>
        <c:axId val="476660872"/>
        <c:axId val="476661856"/>
      </c:lineChart>
      <c:catAx>
        <c:axId val="476660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6661856"/>
        <c:crosses val="autoZero"/>
        <c:auto val="1"/>
        <c:lblAlgn val="ctr"/>
        <c:lblOffset val="100"/>
        <c:noMultiLvlLbl val="0"/>
      </c:catAx>
      <c:valAx>
        <c:axId val="476661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66608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GB"/>
              <a:t>Tayside Household Projections 2021-2043</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0"/>
          <c:order val="0"/>
          <c:tx>
            <c:strRef>
              <c:f>Sheet2!$B$23</c:f>
              <c:strCache>
                <c:ptCount val="1"/>
                <c:pt idx="0">
                  <c:v>Tayplan Principal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0"/>
              <c:layout>
                <c:manualLayout>
                  <c:x val="-2.3266219239373602E-2"/>
                  <c:y val="3.70370370370370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7D5-4999-990C-6E5B283F5925}"/>
                </c:ext>
              </c:extLst>
            </c:dLbl>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7D5-4999-990C-6E5B283F592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Sheet2!$C$22:$F$22</c:f>
              <c:numCache>
                <c:formatCode>General</c:formatCode>
                <c:ptCount val="4"/>
                <c:pt idx="0">
                  <c:v>2021</c:v>
                </c:pt>
                <c:pt idx="1">
                  <c:v>2026</c:v>
                </c:pt>
                <c:pt idx="2">
                  <c:v>2031</c:v>
                </c:pt>
                <c:pt idx="3">
                  <c:v>2043</c:v>
                </c:pt>
              </c:numCache>
            </c:numRef>
          </c:cat>
          <c:val>
            <c:numRef>
              <c:f>Sheet2!$C$23:$F$23</c:f>
              <c:numCache>
                <c:formatCode>#,##0</c:formatCode>
                <c:ptCount val="4"/>
                <c:pt idx="0">
                  <c:v>228446</c:v>
                </c:pt>
                <c:pt idx="1">
                  <c:v>231611</c:v>
                </c:pt>
                <c:pt idx="2">
                  <c:v>233319</c:v>
                </c:pt>
                <c:pt idx="3">
                  <c:v>237620</c:v>
                </c:pt>
              </c:numCache>
            </c:numRef>
          </c:val>
          <c:smooth val="0"/>
          <c:extLst>
            <c:ext xmlns:c16="http://schemas.microsoft.com/office/drawing/2014/chart" uri="{C3380CC4-5D6E-409C-BE32-E72D297353CC}">
              <c16:uniqueId val="{00000000-D7D5-4999-990C-6E5B283F5925}"/>
            </c:ext>
          </c:extLst>
        </c:ser>
        <c:ser>
          <c:idx val="1"/>
          <c:order val="1"/>
          <c:tx>
            <c:strRef>
              <c:f>Sheet2!$B$24</c:f>
              <c:strCache>
                <c:ptCount val="1"/>
                <c:pt idx="0">
                  <c:v>Tayplan Low Migration</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dLbls>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7D5-4999-990C-6E5B283F592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Sheet2!$C$22:$F$22</c:f>
              <c:numCache>
                <c:formatCode>General</c:formatCode>
                <c:ptCount val="4"/>
                <c:pt idx="0">
                  <c:v>2021</c:v>
                </c:pt>
                <c:pt idx="1">
                  <c:v>2026</c:v>
                </c:pt>
                <c:pt idx="2">
                  <c:v>2031</c:v>
                </c:pt>
                <c:pt idx="3">
                  <c:v>2043</c:v>
                </c:pt>
              </c:numCache>
            </c:numRef>
          </c:cat>
          <c:val>
            <c:numRef>
              <c:f>Sheet2!$C$24:$F$24</c:f>
              <c:numCache>
                <c:formatCode>#,##0</c:formatCode>
                <c:ptCount val="4"/>
                <c:pt idx="0">
                  <c:v>228334</c:v>
                </c:pt>
                <c:pt idx="1">
                  <c:v>230807</c:v>
                </c:pt>
                <c:pt idx="2">
                  <c:v>231534</c:v>
                </c:pt>
                <c:pt idx="3">
                  <c:v>233176</c:v>
                </c:pt>
              </c:numCache>
            </c:numRef>
          </c:val>
          <c:smooth val="0"/>
          <c:extLst>
            <c:ext xmlns:c16="http://schemas.microsoft.com/office/drawing/2014/chart" uri="{C3380CC4-5D6E-409C-BE32-E72D297353CC}">
              <c16:uniqueId val="{00000001-D7D5-4999-990C-6E5B283F5925}"/>
            </c:ext>
          </c:extLst>
        </c:ser>
        <c:ser>
          <c:idx val="2"/>
          <c:order val="2"/>
          <c:tx>
            <c:strRef>
              <c:f>Sheet2!$B$25</c:f>
              <c:strCache>
                <c:ptCount val="1"/>
                <c:pt idx="0">
                  <c:v>Tayplan High Migration</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dLbls>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7D5-4999-990C-6E5B283F592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Sheet2!$C$22:$F$22</c:f>
              <c:numCache>
                <c:formatCode>General</c:formatCode>
                <c:ptCount val="4"/>
                <c:pt idx="0">
                  <c:v>2021</c:v>
                </c:pt>
                <c:pt idx="1">
                  <c:v>2026</c:v>
                </c:pt>
                <c:pt idx="2">
                  <c:v>2031</c:v>
                </c:pt>
                <c:pt idx="3">
                  <c:v>2043</c:v>
                </c:pt>
              </c:numCache>
            </c:numRef>
          </c:cat>
          <c:val>
            <c:numRef>
              <c:f>Sheet2!$C$25:$F$25</c:f>
              <c:numCache>
                <c:formatCode>#,##0</c:formatCode>
                <c:ptCount val="4"/>
                <c:pt idx="0">
                  <c:v>228580</c:v>
                </c:pt>
                <c:pt idx="1">
                  <c:v>232446</c:v>
                </c:pt>
                <c:pt idx="2">
                  <c:v>235117</c:v>
                </c:pt>
                <c:pt idx="3">
                  <c:v>242079</c:v>
                </c:pt>
              </c:numCache>
            </c:numRef>
          </c:val>
          <c:smooth val="0"/>
          <c:extLst>
            <c:ext xmlns:c16="http://schemas.microsoft.com/office/drawing/2014/chart" uri="{C3380CC4-5D6E-409C-BE32-E72D297353CC}">
              <c16:uniqueId val="{00000002-D7D5-4999-990C-6E5B283F5925}"/>
            </c:ext>
          </c:extLst>
        </c:ser>
        <c:dLbls>
          <c:showLegendKey val="0"/>
          <c:showVal val="0"/>
          <c:showCatName val="0"/>
          <c:showSerName val="0"/>
          <c:showPercent val="0"/>
          <c:showBubbleSize val="0"/>
        </c:dLbls>
        <c:marker val="1"/>
        <c:smooth val="0"/>
        <c:axId val="593487232"/>
        <c:axId val="593487560"/>
      </c:lineChart>
      <c:catAx>
        <c:axId val="5934872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593487560"/>
        <c:crosses val="autoZero"/>
        <c:auto val="1"/>
        <c:lblAlgn val="ctr"/>
        <c:lblOffset val="100"/>
        <c:noMultiLvlLbl val="0"/>
      </c:catAx>
      <c:valAx>
        <c:axId val="5934875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5934872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4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GB"/>
              <a:t>Tayside Principle Household Projections 2021-2043</a:t>
            </a:r>
          </a:p>
          <a:p>
            <a:pPr algn="ctr" rtl="0">
              <a:defRPr/>
            </a:pPr>
            <a:endParaRPr lang="en-GB"/>
          </a:p>
        </c:rich>
      </c:tx>
      <c:overlay val="0"/>
      <c:spPr>
        <a:noFill/>
        <a:ln>
          <a:noFill/>
        </a:ln>
        <a:effectLst/>
      </c:spPr>
      <c:txPr>
        <a:bodyPr rot="0" spcFirstLastPara="1" vertOverflow="ellipsis" vert="horz" wrap="square" anchor="ctr" anchorCtr="1"/>
        <a:lstStyle/>
        <a:p>
          <a:pPr algn="ctr" rtl="0">
            <a:defRPr sz="144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0"/>
          <c:order val="0"/>
          <c:tx>
            <c:strRef>
              <c:f>Sheet2!$B$28</c:f>
              <c:strCache>
                <c:ptCount val="1"/>
                <c:pt idx="0">
                  <c:v>Angus Principal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Sheet2!$C$27:$F$27</c:f>
              <c:numCache>
                <c:formatCode>General</c:formatCode>
                <c:ptCount val="4"/>
                <c:pt idx="0">
                  <c:v>2021</c:v>
                </c:pt>
                <c:pt idx="1">
                  <c:v>2026</c:v>
                </c:pt>
                <c:pt idx="2">
                  <c:v>2031</c:v>
                </c:pt>
                <c:pt idx="3">
                  <c:v>2043</c:v>
                </c:pt>
              </c:numCache>
            </c:numRef>
          </c:cat>
          <c:val>
            <c:numRef>
              <c:f>Sheet2!$C$28:$F$28</c:f>
              <c:numCache>
                <c:formatCode>#,##0</c:formatCode>
                <c:ptCount val="4"/>
                <c:pt idx="0">
                  <c:v>54378</c:v>
                </c:pt>
                <c:pt idx="1">
                  <c:v>55122</c:v>
                </c:pt>
                <c:pt idx="2">
                  <c:v>55244</c:v>
                </c:pt>
                <c:pt idx="3">
                  <c:v>55451</c:v>
                </c:pt>
              </c:numCache>
            </c:numRef>
          </c:val>
          <c:smooth val="0"/>
          <c:extLst>
            <c:ext xmlns:c16="http://schemas.microsoft.com/office/drawing/2014/chart" uri="{C3380CC4-5D6E-409C-BE32-E72D297353CC}">
              <c16:uniqueId val="{00000000-6F58-4E6A-B03C-30AF671A1579}"/>
            </c:ext>
          </c:extLst>
        </c:ser>
        <c:ser>
          <c:idx val="1"/>
          <c:order val="1"/>
          <c:tx>
            <c:strRef>
              <c:f>Sheet2!$B$29</c:f>
              <c:strCache>
                <c:ptCount val="1"/>
                <c:pt idx="0">
                  <c:v>Dundee Principal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Sheet2!$C$27:$F$27</c:f>
              <c:numCache>
                <c:formatCode>General</c:formatCode>
                <c:ptCount val="4"/>
                <c:pt idx="0">
                  <c:v>2021</c:v>
                </c:pt>
                <c:pt idx="1">
                  <c:v>2026</c:v>
                </c:pt>
                <c:pt idx="2">
                  <c:v>2031</c:v>
                </c:pt>
                <c:pt idx="3">
                  <c:v>2043</c:v>
                </c:pt>
              </c:numCache>
            </c:numRef>
          </c:cat>
          <c:val>
            <c:numRef>
              <c:f>Sheet2!$C$29:$F$29</c:f>
              <c:numCache>
                <c:formatCode>#,##0</c:formatCode>
                <c:ptCount val="4"/>
                <c:pt idx="0">
                  <c:v>71077</c:v>
                </c:pt>
                <c:pt idx="1">
                  <c:v>71434</c:v>
                </c:pt>
                <c:pt idx="2">
                  <c:v>71958</c:v>
                </c:pt>
                <c:pt idx="3">
                  <c:v>73624</c:v>
                </c:pt>
              </c:numCache>
            </c:numRef>
          </c:val>
          <c:smooth val="0"/>
          <c:extLst>
            <c:ext xmlns:c16="http://schemas.microsoft.com/office/drawing/2014/chart" uri="{C3380CC4-5D6E-409C-BE32-E72D297353CC}">
              <c16:uniqueId val="{00000001-6F58-4E6A-B03C-30AF671A1579}"/>
            </c:ext>
          </c:extLst>
        </c:ser>
        <c:ser>
          <c:idx val="2"/>
          <c:order val="2"/>
          <c:tx>
            <c:strRef>
              <c:f>Sheet2!$B$30</c:f>
              <c:strCache>
                <c:ptCount val="1"/>
                <c:pt idx="0">
                  <c:v>Fife Principal</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Sheet2!$C$27:$F$27</c:f>
              <c:numCache>
                <c:formatCode>General</c:formatCode>
                <c:ptCount val="4"/>
                <c:pt idx="0">
                  <c:v>2021</c:v>
                </c:pt>
                <c:pt idx="1">
                  <c:v>2026</c:v>
                </c:pt>
                <c:pt idx="2">
                  <c:v>2031</c:v>
                </c:pt>
                <c:pt idx="3">
                  <c:v>2043</c:v>
                </c:pt>
              </c:numCache>
            </c:numRef>
          </c:cat>
          <c:val>
            <c:numRef>
              <c:f>Sheet2!$C$30:$F$30</c:f>
              <c:numCache>
                <c:formatCode>#,##0</c:formatCode>
                <c:ptCount val="4"/>
                <c:pt idx="0">
                  <c:v>33285</c:v>
                </c:pt>
                <c:pt idx="1">
                  <c:v>33741</c:v>
                </c:pt>
                <c:pt idx="2">
                  <c:v>33963</c:v>
                </c:pt>
                <c:pt idx="3">
                  <c:v>34606</c:v>
                </c:pt>
              </c:numCache>
            </c:numRef>
          </c:val>
          <c:smooth val="0"/>
          <c:extLst>
            <c:ext xmlns:c16="http://schemas.microsoft.com/office/drawing/2014/chart" uri="{C3380CC4-5D6E-409C-BE32-E72D297353CC}">
              <c16:uniqueId val="{00000002-6F58-4E6A-B03C-30AF671A1579}"/>
            </c:ext>
          </c:extLst>
        </c:ser>
        <c:ser>
          <c:idx val="3"/>
          <c:order val="3"/>
          <c:tx>
            <c:strRef>
              <c:f>Sheet2!$B$31</c:f>
              <c:strCache>
                <c:ptCount val="1"/>
                <c:pt idx="0">
                  <c:v>Perth &amp; Kinross Principal</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Sheet2!$C$27:$F$27</c:f>
              <c:numCache>
                <c:formatCode>General</c:formatCode>
                <c:ptCount val="4"/>
                <c:pt idx="0">
                  <c:v>2021</c:v>
                </c:pt>
                <c:pt idx="1">
                  <c:v>2026</c:v>
                </c:pt>
                <c:pt idx="2">
                  <c:v>2031</c:v>
                </c:pt>
                <c:pt idx="3">
                  <c:v>2043</c:v>
                </c:pt>
              </c:numCache>
            </c:numRef>
          </c:cat>
          <c:val>
            <c:numRef>
              <c:f>Sheet2!$C$31:$F$31</c:f>
              <c:numCache>
                <c:formatCode>#,##0</c:formatCode>
                <c:ptCount val="4"/>
                <c:pt idx="0">
                  <c:v>69706</c:v>
                </c:pt>
                <c:pt idx="1">
                  <c:v>71314</c:v>
                </c:pt>
                <c:pt idx="2">
                  <c:v>72154</c:v>
                </c:pt>
                <c:pt idx="3">
                  <c:v>73939</c:v>
                </c:pt>
              </c:numCache>
            </c:numRef>
          </c:val>
          <c:smooth val="0"/>
          <c:extLst>
            <c:ext xmlns:c16="http://schemas.microsoft.com/office/drawing/2014/chart" uri="{C3380CC4-5D6E-409C-BE32-E72D297353CC}">
              <c16:uniqueId val="{00000003-6F58-4E6A-B03C-30AF671A1579}"/>
            </c:ext>
          </c:extLst>
        </c:ser>
        <c:dLbls>
          <c:showLegendKey val="0"/>
          <c:showVal val="0"/>
          <c:showCatName val="0"/>
          <c:showSerName val="0"/>
          <c:showPercent val="0"/>
          <c:showBubbleSize val="0"/>
        </c:dLbls>
        <c:marker val="1"/>
        <c:smooth val="0"/>
        <c:axId val="406150784"/>
        <c:axId val="406147176"/>
      </c:lineChart>
      <c:catAx>
        <c:axId val="406150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06147176"/>
        <c:crosses val="autoZero"/>
        <c:auto val="1"/>
        <c:lblAlgn val="ctr"/>
        <c:lblOffset val="100"/>
        <c:noMultiLvlLbl val="0"/>
      </c:catAx>
      <c:valAx>
        <c:axId val="40614717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061507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Percentage Change in</a:t>
            </a:r>
            <a:r>
              <a:rPr lang="en-GB" baseline="0"/>
              <a:t> Births 1996-2021</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'1.1 Population Projections'!$E$53</c:f>
              <c:strCache>
                <c:ptCount val="1"/>
                <c:pt idx="0">
                  <c:v>% Change Moray</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'1.1 Population Projections'!$B$55:$B$79</c:f>
              <c:numCache>
                <c:formatCode>General</c:formatCode>
                <c:ptCount val="25"/>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pt idx="19">
                  <c:v>2016</c:v>
                </c:pt>
                <c:pt idx="20">
                  <c:v>2017</c:v>
                </c:pt>
                <c:pt idx="21">
                  <c:v>2018</c:v>
                </c:pt>
                <c:pt idx="22">
                  <c:v>2019</c:v>
                </c:pt>
                <c:pt idx="23">
                  <c:v>2020</c:v>
                </c:pt>
                <c:pt idx="24">
                  <c:v>2021</c:v>
                </c:pt>
              </c:numCache>
            </c:numRef>
          </c:xVal>
          <c:yVal>
            <c:numRef>
              <c:f>'1.1 Population Projections'!$E$55:$E$79</c:f>
              <c:numCache>
                <c:formatCode>0.00%</c:formatCode>
                <c:ptCount val="25"/>
                <c:pt idx="0">
                  <c:v>6.1704211557296766E-2</c:v>
                </c:pt>
                <c:pt idx="1">
                  <c:v>-4.6125461254612546E-2</c:v>
                </c:pt>
                <c:pt idx="2">
                  <c:v>-5.8994197292069631E-2</c:v>
                </c:pt>
                <c:pt idx="3">
                  <c:v>-6.2692702980472761E-2</c:v>
                </c:pt>
                <c:pt idx="4">
                  <c:v>-4.7149122807017545E-2</c:v>
                </c:pt>
                <c:pt idx="5">
                  <c:v>8.0552359033371698E-3</c:v>
                </c:pt>
                <c:pt idx="6">
                  <c:v>-5.9360730593607303E-2</c:v>
                </c:pt>
                <c:pt idx="7">
                  <c:v>3.640776699029126E-2</c:v>
                </c:pt>
                <c:pt idx="8">
                  <c:v>2.8103044496487119E-2</c:v>
                </c:pt>
                <c:pt idx="9">
                  <c:v>2.3917995444191344E-2</c:v>
                </c:pt>
                <c:pt idx="10">
                  <c:v>0.11345939933259176</c:v>
                </c:pt>
                <c:pt idx="11">
                  <c:v>-4.4955044955044952E-2</c:v>
                </c:pt>
                <c:pt idx="12">
                  <c:v>1.0460251046025104E-2</c:v>
                </c:pt>
                <c:pt idx="13">
                  <c:v>-3.9337474120082816E-2</c:v>
                </c:pt>
                <c:pt idx="14">
                  <c:v>4.8491379310344827E-2</c:v>
                </c:pt>
                <c:pt idx="15">
                  <c:v>-5.9609455292908529E-2</c:v>
                </c:pt>
                <c:pt idx="16">
                  <c:v>4.480874316939891E-2</c:v>
                </c:pt>
                <c:pt idx="17">
                  <c:v>-2.615062761506276E-2</c:v>
                </c:pt>
                <c:pt idx="18">
                  <c:v>-2.7926960257787327E-2</c:v>
                </c:pt>
                <c:pt idx="19">
                  <c:v>3.7569060773480663E-2</c:v>
                </c:pt>
                <c:pt idx="20">
                  <c:v>-8.8391906283280086E-2</c:v>
                </c:pt>
                <c:pt idx="21">
                  <c:v>-3.6214953271028034E-2</c:v>
                </c:pt>
                <c:pt idx="22">
                  <c:v>-1.090909090909091E-2</c:v>
                </c:pt>
                <c:pt idx="23">
                  <c:v>4.779411764705882E-2</c:v>
                </c:pt>
                <c:pt idx="24">
                  <c:v>-1.0526315789473684E-2</c:v>
                </c:pt>
              </c:numCache>
            </c:numRef>
          </c:yVal>
          <c:smooth val="0"/>
          <c:extLst>
            <c:ext xmlns:c16="http://schemas.microsoft.com/office/drawing/2014/chart" uri="{C3380CC4-5D6E-409C-BE32-E72D297353CC}">
              <c16:uniqueId val="{00000000-693C-4143-AD85-8E4A3BF0657E}"/>
            </c:ext>
          </c:extLst>
        </c:ser>
        <c:ser>
          <c:idx val="1"/>
          <c:order val="1"/>
          <c:tx>
            <c:strRef>
              <c:f>'1.1 Population Projections'!$F$53</c:f>
              <c:strCache>
                <c:ptCount val="1"/>
                <c:pt idx="0">
                  <c:v>% Change Scotland</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'1.1 Population Projections'!$B$55:$B$79</c:f>
              <c:numCache>
                <c:formatCode>General</c:formatCode>
                <c:ptCount val="25"/>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pt idx="19">
                  <c:v>2016</c:v>
                </c:pt>
                <c:pt idx="20">
                  <c:v>2017</c:v>
                </c:pt>
                <c:pt idx="21">
                  <c:v>2018</c:v>
                </c:pt>
                <c:pt idx="22">
                  <c:v>2019</c:v>
                </c:pt>
                <c:pt idx="23">
                  <c:v>2020</c:v>
                </c:pt>
                <c:pt idx="24">
                  <c:v>2021</c:v>
                </c:pt>
              </c:numCache>
            </c:numRef>
          </c:xVal>
          <c:yVal>
            <c:numRef>
              <c:f>'1.1 Population Projections'!$F$55:$F$79</c:f>
              <c:numCache>
                <c:formatCode>0.00%</c:formatCode>
                <c:ptCount val="25"/>
                <c:pt idx="0">
                  <c:v>2.4284943335132216E-3</c:v>
                </c:pt>
                <c:pt idx="1">
                  <c:v>-3.5683041722745626E-2</c:v>
                </c:pt>
                <c:pt idx="2">
                  <c:v>-3.7893194228789756E-2</c:v>
                </c:pt>
                <c:pt idx="3">
                  <c:v>-3.7554173391118287E-2</c:v>
                </c:pt>
                <c:pt idx="4">
                  <c:v>-1.0343658150576533E-2</c:v>
                </c:pt>
                <c:pt idx="5">
                  <c:v>-2.3930550002855676E-2</c:v>
                </c:pt>
                <c:pt idx="6">
                  <c:v>2.266432611663741E-2</c:v>
                </c:pt>
                <c:pt idx="7">
                  <c:v>2.9085291425083919E-2</c:v>
                </c:pt>
                <c:pt idx="8">
                  <c:v>7.9507756176214386E-3</c:v>
                </c:pt>
                <c:pt idx="9">
                  <c:v>2.3976758724671792E-2</c:v>
                </c:pt>
                <c:pt idx="10">
                  <c:v>3.7547135931046867E-2</c:v>
                </c:pt>
                <c:pt idx="11">
                  <c:v>3.9113203302123534E-2</c:v>
                </c:pt>
                <c:pt idx="12">
                  <c:v>-1.6572009127096485E-2</c:v>
                </c:pt>
                <c:pt idx="13">
                  <c:v>-4.3186668021542524E-3</c:v>
                </c:pt>
                <c:pt idx="14">
                  <c:v>-3.4188906465275298E-3</c:v>
                </c:pt>
                <c:pt idx="15">
                  <c:v>-9.609148318825738E-3</c:v>
                </c:pt>
                <c:pt idx="16">
                  <c:v>-3.469074741068813E-2</c:v>
                </c:pt>
                <c:pt idx="17">
                  <c:v>1.2693255257614168E-2</c:v>
                </c:pt>
                <c:pt idx="18">
                  <c:v>-2.8682238871749668E-2</c:v>
                </c:pt>
                <c:pt idx="19">
                  <c:v>-1.1071182257069222E-2</c:v>
                </c:pt>
                <c:pt idx="20">
                  <c:v>-2.9859785640875054E-2</c:v>
                </c:pt>
                <c:pt idx="21">
                  <c:v>-2.9378937212689884E-2</c:v>
                </c:pt>
                <c:pt idx="22">
                  <c:v>-2.8163249395805723E-2</c:v>
                </c:pt>
                <c:pt idx="23">
                  <c:v>-6.1247819024126106E-2</c:v>
                </c:pt>
                <c:pt idx="24">
                  <c:v>2.0872054519430024E-2</c:v>
                </c:pt>
              </c:numCache>
            </c:numRef>
          </c:yVal>
          <c:smooth val="0"/>
          <c:extLst>
            <c:ext xmlns:c16="http://schemas.microsoft.com/office/drawing/2014/chart" uri="{C3380CC4-5D6E-409C-BE32-E72D297353CC}">
              <c16:uniqueId val="{00000001-693C-4143-AD85-8E4A3BF0657E}"/>
            </c:ext>
          </c:extLst>
        </c:ser>
        <c:dLbls>
          <c:showLegendKey val="0"/>
          <c:showVal val="0"/>
          <c:showCatName val="0"/>
          <c:showSerName val="0"/>
          <c:showPercent val="0"/>
          <c:showBubbleSize val="0"/>
        </c:dLbls>
        <c:axId val="927063448"/>
        <c:axId val="927058856"/>
      </c:scatterChart>
      <c:valAx>
        <c:axId val="927063448"/>
        <c:scaling>
          <c:orientation val="minMax"/>
          <c:max val="2021"/>
          <c:min val="1997"/>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7058856"/>
        <c:crosses val="autoZero"/>
        <c:crossBetween val="midCat"/>
      </c:valAx>
      <c:valAx>
        <c:axId val="927058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706344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 Change in</a:t>
            </a:r>
            <a:r>
              <a:rPr lang="en-GB" baseline="0"/>
              <a:t> House Sale Volumes 2004-2021</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'1.5 - 1.9 Housing Affordability'!$E$6</c:f>
              <c:strCache>
                <c:ptCount val="1"/>
                <c:pt idx="0">
                  <c:v>% Change Moray</c:v>
                </c:pt>
              </c:strCache>
            </c:strRef>
          </c:tx>
          <c:spPr>
            <a:ln w="28575" cap="rnd">
              <a:solidFill>
                <a:schemeClr val="accent1"/>
              </a:solidFill>
              <a:round/>
            </a:ln>
            <a:effectLst/>
          </c:spPr>
          <c:marker>
            <c:symbol val="none"/>
          </c:marker>
          <c:cat>
            <c:numRef>
              <c:f>'1.5 - 1.9 Housing Affordability'!$B$7:$B$24</c:f>
              <c:numCache>
                <c:formatCode>General</c:formatCode>
                <c:ptCount val="18"/>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numCache>
            </c:numRef>
          </c:cat>
          <c:val>
            <c:numRef>
              <c:f>'1.5 - 1.9 Housing Affordability'!$E$7:$E$24</c:f>
              <c:numCache>
                <c:formatCode>0.00%</c:formatCode>
                <c:ptCount val="18"/>
                <c:pt idx="1">
                  <c:v>6.8534267133566779E-2</c:v>
                </c:pt>
                <c:pt idx="2">
                  <c:v>-5.5243445692883898E-2</c:v>
                </c:pt>
                <c:pt idx="3">
                  <c:v>3.4192269573835483E-2</c:v>
                </c:pt>
                <c:pt idx="4">
                  <c:v>-0.22664111164350742</c:v>
                </c:pt>
                <c:pt idx="5">
                  <c:v>-0.17348203221809169</c:v>
                </c:pt>
                <c:pt idx="6">
                  <c:v>7.7211394302848582E-2</c:v>
                </c:pt>
                <c:pt idx="7">
                  <c:v>-0.1837160751565762</c:v>
                </c:pt>
                <c:pt idx="8">
                  <c:v>0.17817561807331628</c:v>
                </c:pt>
                <c:pt idx="9">
                  <c:v>4.2691751085383499E-2</c:v>
                </c:pt>
                <c:pt idx="10">
                  <c:v>0.23802914642609299</c:v>
                </c:pt>
                <c:pt idx="11">
                  <c:v>-5.1569506726457402E-2</c:v>
                </c:pt>
                <c:pt idx="12">
                  <c:v>4.6099290780141841E-2</c:v>
                </c:pt>
                <c:pt idx="13">
                  <c:v>1.1299435028248588E-3</c:v>
                </c:pt>
                <c:pt idx="14">
                  <c:v>-5.8690744920993229E-2</c:v>
                </c:pt>
                <c:pt idx="15">
                  <c:v>1.8585131894484411E-2</c:v>
                </c:pt>
                <c:pt idx="16">
                  <c:v>-0.15891701000588582</c:v>
                </c:pt>
                <c:pt idx="17">
                  <c:v>0.36738978306508047</c:v>
                </c:pt>
              </c:numCache>
            </c:numRef>
          </c:val>
          <c:smooth val="0"/>
          <c:extLst>
            <c:ext xmlns:c16="http://schemas.microsoft.com/office/drawing/2014/chart" uri="{C3380CC4-5D6E-409C-BE32-E72D297353CC}">
              <c16:uniqueId val="{00000000-3BF1-48B7-A21C-48DAF13A6B36}"/>
            </c:ext>
          </c:extLst>
        </c:ser>
        <c:ser>
          <c:idx val="1"/>
          <c:order val="1"/>
          <c:tx>
            <c:strRef>
              <c:f>'1.5 - 1.9 Housing Affordability'!$F$6</c:f>
              <c:strCache>
                <c:ptCount val="1"/>
                <c:pt idx="0">
                  <c:v>% Change Scotland</c:v>
                </c:pt>
              </c:strCache>
            </c:strRef>
          </c:tx>
          <c:spPr>
            <a:ln w="28575" cap="rnd">
              <a:solidFill>
                <a:schemeClr val="accent2"/>
              </a:solidFill>
              <a:round/>
            </a:ln>
            <a:effectLst/>
          </c:spPr>
          <c:marker>
            <c:symbol val="none"/>
          </c:marker>
          <c:cat>
            <c:numRef>
              <c:f>'1.5 - 1.9 Housing Affordability'!$B$7:$B$24</c:f>
              <c:numCache>
                <c:formatCode>General</c:formatCode>
                <c:ptCount val="18"/>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numCache>
            </c:numRef>
          </c:cat>
          <c:val>
            <c:numRef>
              <c:f>'1.5 - 1.9 Housing Affordability'!$F$7:$F$24</c:f>
              <c:numCache>
                <c:formatCode>0.00%</c:formatCode>
                <c:ptCount val="18"/>
                <c:pt idx="1">
                  <c:v>6.4380696595741402E-2</c:v>
                </c:pt>
                <c:pt idx="2">
                  <c:v>7.8149584889243381E-2</c:v>
                </c:pt>
                <c:pt idx="3">
                  <c:v>2.9947610176672742E-2</c:v>
                </c:pt>
                <c:pt idx="4">
                  <c:v>-0.3381870894440599</c:v>
                </c:pt>
                <c:pt idx="5">
                  <c:v>-0.3204609586202814</c:v>
                </c:pt>
                <c:pt idx="6">
                  <c:v>6.9561808519905913E-2</c:v>
                </c:pt>
                <c:pt idx="7">
                  <c:v>-6.0218556980927172E-2</c:v>
                </c:pt>
                <c:pt idx="8">
                  <c:v>4.1066605035462014E-2</c:v>
                </c:pt>
                <c:pt idx="9">
                  <c:v>0.16539016539016538</c:v>
                </c:pt>
                <c:pt idx="10">
                  <c:v>0.11285598628440804</c:v>
                </c:pt>
                <c:pt idx="11">
                  <c:v>4.0215681869242868E-2</c:v>
                </c:pt>
                <c:pt idx="12">
                  <c:v>2.6843566800370255E-2</c:v>
                </c:pt>
                <c:pt idx="13">
                  <c:v>4.0895432692307693E-2</c:v>
                </c:pt>
                <c:pt idx="14">
                  <c:v>-2.339231931333776E-2</c:v>
                </c:pt>
                <c:pt idx="15">
                  <c:v>1.7114649430496984E-2</c:v>
                </c:pt>
                <c:pt idx="16">
                  <c:v>-0.17534801267085801</c:v>
                </c:pt>
                <c:pt idx="17">
                  <c:v>0.37434216708955925</c:v>
                </c:pt>
              </c:numCache>
            </c:numRef>
          </c:val>
          <c:smooth val="0"/>
          <c:extLst>
            <c:ext xmlns:c16="http://schemas.microsoft.com/office/drawing/2014/chart" uri="{C3380CC4-5D6E-409C-BE32-E72D297353CC}">
              <c16:uniqueId val="{00000001-3BF1-48B7-A21C-48DAF13A6B36}"/>
            </c:ext>
          </c:extLst>
        </c:ser>
        <c:dLbls>
          <c:showLegendKey val="0"/>
          <c:showVal val="0"/>
          <c:showCatName val="0"/>
          <c:showSerName val="0"/>
          <c:showPercent val="0"/>
          <c:showBubbleSize val="0"/>
        </c:dLbls>
        <c:smooth val="0"/>
        <c:axId val="825617888"/>
        <c:axId val="825626744"/>
      </c:lineChart>
      <c:catAx>
        <c:axId val="82561788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5626744"/>
        <c:crosses val="autoZero"/>
        <c:auto val="1"/>
        <c:lblAlgn val="ctr"/>
        <c:lblOffset val="100"/>
        <c:noMultiLvlLbl val="0"/>
      </c:catAx>
      <c:valAx>
        <c:axId val="8256267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56178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 Change in Mean</a:t>
            </a:r>
            <a:r>
              <a:rPr lang="en-GB" baseline="0"/>
              <a:t> House Sale Value 2010-2021</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'1.5 - 1.9 Housing Affordability'!$E$49</c:f>
              <c:strCache>
                <c:ptCount val="1"/>
                <c:pt idx="0">
                  <c:v>% Change Moray</c:v>
                </c:pt>
              </c:strCache>
            </c:strRef>
          </c:tx>
          <c:spPr>
            <a:ln w="28575" cap="rnd">
              <a:solidFill>
                <a:schemeClr val="accent1"/>
              </a:solidFill>
              <a:round/>
            </a:ln>
            <a:effectLst/>
          </c:spPr>
          <c:marker>
            <c:symbol val="none"/>
          </c:marker>
          <c:cat>
            <c:numRef>
              <c:f>'1.5 - 1.9 Housing Affordability'!$B$50:$B$61</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cat>
          <c:val>
            <c:numRef>
              <c:f>'1.5 - 1.9 Housing Affordability'!$E$50:$E$61</c:f>
              <c:numCache>
                <c:formatCode>0.00%</c:formatCode>
                <c:ptCount val="12"/>
                <c:pt idx="1">
                  <c:v>-1.0733492750273009E-2</c:v>
                </c:pt>
                <c:pt idx="2">
                  <c:v>4.7238247759736438E-2</c:v>
                </c:pt>
                <c:pt idx="3">
                  <c:v>-1.4380016223742074E-2</c:v>
                </c:pt>
                <c:pt idx="4">
                  <c:v>3.245455669058131E-2</c:v>
                </c:pt>
                <c:pt idx="5">
                  <c:v>2.9189394167271791E-2</c:v>
                </c:pt>
                <c:pt idx="6">
                  <c:v>6.6186511137277136E-3</c:v>
                </c:pt>
                <c:pt idx="7">
                  <c:v>3.3396067669567792E-2</c:v>
                </c:pt>
                <c:pt idx="8">
                  <c:v>4.8567590336411323E-2</c:v>
                </c:pt>
                <c:pt idx="9">
                  <c:v>2.3067432989918434E-2</c:v>
                </c:pt>
                <c:pt idx="10">
                  <c:v>4.0191674178615786E-2</c:v>
                </c:pt>
                <c:pt idx="11">
                  <c:v>4.966951994424685E-2</c:v>
                </c:pt>
              </c:numCache>
            </c:numRef>
          </c:val>
          <c:smooth val="0"/>
          <c:extLst>
            <c:ext xmlns:c16="http://schemas.microsoft.com/office/drawing/2014/chart" uri="{C3380CC4-5D6E-409C-BE32-E72D297353CC}">
              <c16:uniqueId val="{00000000-8F73-4289-A6AC-DF1EEB0F95FC}"/>
            </c:ext>
          </c:extLst>
        </c:ser>
        <c:ser>
          <c:idx val="1"/>
          <c:order val="1"/>
          <c:tx>
            <c:strRef>
              <c:f>'1.5 - 1.9 Housing Affordability'!$F$49</c:f>
              <c:strCache>
                <c:ptCount val="1"/>
                <c:pt idx="0">
                  <c:v>% Change Scotland</c:v>
                </c:pt>
              </c:strCache>
            </c:strRef>
          </c:tx>
          <c:spPr>
            <a:ln w="28575" cap="rnd">
              <a:solidFill>
                <a:schemeClr val="accent2"/>
              </a:solidFill>
              <a:round/>
            </a:ln>
            <a:effectLst/>
          </c:spPr>
          <c:marker>
            <c:symbol val="none"/>
          </c:marker>
          <c:cat>
            <c:numRef>
              <c:f>'1.5 - 1.9 Housing Affordability'!$B$50:$B$61</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cat>
          <c:val>
            <c:numRef>
              <c:f>'1.5 - 1.9 Housing Affordability'!$F$50:$F$61</c:f>
              <c:numCache>
                <c:formatCode>0.00%</c:formatCode>
                <c:ptCount val="12"/>
                <c:pt idx="1">
                  <c:v>-7.041176647477836E-4</c:v>
                </c:pt>
                <c:pt idx="2">
                  <c:v>-1.2180438755743556E-2</c:v>
                </c:pt>
                <c:pt idx="3">
                  <c:v>1.5893577007624501E-2</c:v>
                </c:pt>
                <c:pt idx="4">
                  <c:v>4.3375439556881508E-2</c:v>
                </c:pt>
                <c:pt idx="5">
                  <c:v>3.1737940567095287E-2</c:v>
                </c:pt>
                <c:pt idx="6">
                  <c:v>-1.8089926944240872E-2</c:v>
                </c:pt>
                <c:pt idx="7">
                  <c:v>3.9841193681525049E-2</c:v>
                </c:pt>
                <c:pt idx="8">
                  <c:v>3.6549744264170951E-2</c:v>
                </c:pt>
                <c:pt idx="9">
                  <c:v>1.2865743022266047E-2</c:v>
                </c:pt>
                <c:pt idx="10">
                  <c:v>4.4433537623363085E-2</c:v>
                </c:pt>
                <c:pt idx="11">
                  <c:v>6.4890093747071859E-2</c:v>
                </c:pt>
              </c:numCache>
            </c:numRef>
          </c:val>
          <c:smooth val="0"/>
          <c:extLst>
            <c:ext xmlns:c16="http://schemas.microsoft.com/office/drawing/2014/chart" uri="{C3380CC4-5D6E-409C-BE32-E72D297353CC}">
              <c16:uniqueId val="{00000001-8F73-4289-A6AC-DF1EEB0F95FC}"/>
            </c:ext>
          </c:extLst>
        </c:ser>
        <c:dLbls>
          <c:showLegendKey val="0"/>
          <c:showVal val="0"/>
          <c:showCatName val="0"/>
          <c:showSerName val="0"/>
          <c:showPercent val="0"/>
          <c:showBubbleSize val="0"/>
        </c:dLbls>
        <c:smooth val="0"/>
        <c:axId val="866753272"/>
        <c:axId val="866747040"/>
      </c:lineChart>
      <c:catAx>
        <c:axId val="86675327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6747040"/>
        <c:crosses val="autoZero"/>
        <c:auto val="1"/>
        <c:lblAlgn val="ctr"/>
        <c:lblOffset val="100"/>
        <c:noMultiLvlLbl val="0"/>
      </c:catAx>
      <c:valAx>
        <c:axId val="8667470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6753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 Change in Median House Sale Value 2010-2021</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'1.5 - 1.9 Housing Affordability'!$E$69</c:f>
              <c:strCache>
                <c:ptCount val="1"/>
                <c:pt idx="0">
                  <c:v>% Change Moray</c:v>
                </c:pt>
              </c:strCache>
            </c:strRef>
          </c:tx>
          <c:spPr>
            <a:ln w="28575" cap="rnd">
              <a:solidFill>
                <a:schemeClr val="accent1"/>
              </a:solidFill>
              <a:round/>
            </a:ln>
            <a:effectLst/>
          </c:spPr>
          <c:marker>
            <c:symbol val="none"/>
          </c:marker>
          <c:cat>
            <c:numRef>
              <c:f>'1.5 - 1.9 Housing Affordability'!$B$70:$B$81</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cat>
          <c:val>
            <c:numRef>
              <c:f>'1.5 - 1.9 Housing Affordability'!$E$70:$E$81</c:f>
              <c:numCache>
                <c:formatCode>0.00%</c:formatCode>
                <c:ptCount val="12"/>
                <c:pt idx="1">
                  <c:v>-2.0408163265306121E-2</c:v>
                </c:pt>
                <c:pt idx="2">
                  <c:v>4.1666666666666664E-2</c:v>
                </c:pt>
                <c:pt idx="3">
                  <c:v>3.8399999999999997E-2</c:v>
                </c:pt>
                <c:pt idx="4">
                  <c:v>2.9083204930662559E-2</c:v>
                </c:pt>
                <c:pt idx="5">
                  <c:v>3.3127456485120721E-2</c:v>
                </c:pt>
                <c:pt idx="6">
                  <c:v>1.4492753623188406E-2</c:v>
                </c:pt>
                <c:pt idx="7">
                  <c:v>2.8571428571428571E-2</c:v>
                </c:pt>
                <c:pt idx="8">
                  <c:v>6.25E-2</c:v>
                </c:pt>
                <c:pt idx="9">
                  <c:v>2.9411764705882353E-2</c:v>
                </c:pt>
                <c:pt idx="10">
                  <c:v>3.4920634920634921E-2</c:v>
                </c:pt>
                <c:pt idx="11">
                  <c:v>-1.1294478527607362E-2</c:v>
                </c:pt>
              </c:numCache>
            </c:numRef>
          </c:val>
          <c:smooth val="0"/>
          <c:extLst>
            <c:ext xmlns:c16="http://schemas.microsoft.com/office/drawing/2014/chart" uri="{C3380CC4-5D6E-409C-BE32-E72D297353CC}">
              <c16:uniqueId val="{00000000-A24A-4B92-B387-426B54E8B973}"/>
            </c:ext>
          </c:extLst>
        </c:ser>
        <c:ser>
          <c:idx val="1"/>
          <c:order val="1"/>
          <c:tx>
            <c:strRef>
              <c:f>'1.5 - 1.9 Housing Affordability'!$F$69</c:f>
              <c:strCache>
                <c:ptCount val="1"/>
                <c:pt idx="0">
                  <c:v>% Change Scotland</c:v>
                </c:pt>
              </c:strCache>
            </c:strRef>
          </c:tx>
          <c:spPr>
            <a:ln w="28575" cap="rnd">
              <a:solidFill>
                <a:schemeClr val="accent2"/>
              </a:solidFill>
              <a:round/>
            </a:ln>
            <a:effectLst/>
          </c:spPr>
          <c:marker>
            <c:symbol val="none"/>
          </c:marker>
          <c:cat>
            <c:numRef>
              <c:f>'1.5 - 1.9 Housing Affordability'!$B$70:$B$81</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cat>
          <c:val>
            <c:numRef>
              <c:f>'1.5 - 1.9 Housing Affordability'!$F$70:$F$81</c:f>
              <c:numCache>
                <c:formatCode>0.00%</c:formatCode>
                <c:ptCount val="12"/>
                <c:pt idx="1">
                  <c:v>1.1764705882352941E-2</c:v>
                </c:pt>
                <c:pt idx="2">
                  <c:v>-3.1007751937984496E-2</c:v>
                </c:pt>
                <c:pt idx="3">
                  <c:v>0.04</c:v>
                </c:pt>
                <c:pt idx="4">
                  <c:v>4.576923076923077E-2</c:v>
                </c:pt>
                <c:pt idx="5">
                  <c:v>2.9790364104450167E-2</c:v>
                </c:pt>
                <c:pt idx="6">
                  <c:v>0</c:v>
                </c:pt>
                <c:pt idx="7">
                  <c:v>3.5714285714285712E-2</c:v>
                </c:pt>
                <c:pt idx="8">
                  <c:v>4.1379310344827586E-2</c:v>
                </c:pt>
                <c:pt idx="9">
                  <c:v>2.6490066225165563E-2</c:v>
                </c:pt>
                <c:pt idx="10">
                  <c:v>4.5161290322580643E-2</c:v>
                </c:pt>
                <c:pt idx="11">
                  <c:v>4.9691358024691358E-2</c:v>
                </c:pt>
              </c:numCache>
            </c:numRef>
          </c:val>
          <c:smooth val="0"/>
          <c:extLst>
            <c:ext xmlns:c16="http://schemas.microsoft.com/office/drawing/2014/chart" uri="{C3380CC4-5D6E-409C-BE32-E72D297353CC}">
              <c16:uniqueId val="{00000001-A24A-4B92-B387-426B54E8B973}"/>
            </c:ext>
          </c:extLst>
        </c:ser>
        <c:dLbls>
          <c:showLegendKey val="0"/>
          <c:showVal val="0"/>
          <c:showCatName val="0"/>
          <c:showSerName val="0"/>
          <c:showPercent val="0"/>
          <c:showBubbleSize val="0"/>
        </c:dLbls>
        <c:smooth val="0"/>
        <c:axId val="866721456"/>
        <c:axId val="866717192"/>
      </c:lineChart>
      <c:catAx>
        <c:axId val="86672145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6717192"/>
        <c:crosses val="autoZero"/>
        <c:auto val="1"/>
        <c:lblAlgn val="ctr"/>
        <c:lblOffset val="100"/>
        <c:noMultiLvlLbl val="0"/>
      </c:catAx>
      <c:valAx>
        <c:axId val="8667171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67214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Average House Sale Values 2010 - 2021</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'1.5 - 1.9 Housing Affordability'!$C$49</c:f>
              <c:strCache>
                <c:ptCount val="1"/>
                <c:pt idx="0">
                  <c:v>Moray</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'1.5 - 1.9 Housing Affordability'!$B$50:$B$61</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xVal>
          <c:yVal>
            <c:numRef>
              <c:f>'1.5 - 1.9 Housing Affordability'!$C$50:$C$61</c:f>
              <c:numCache>
                <c:formatCode>"£"#,##0</c:formatCode>
                <c:ptCount val="12"/>
                <c:pt idx="0">
                  <c:v>140328.04</c:v>
                </c:pt>
                <c:pt idx="1">
                  <c:v>138821.82999999999</c:v>
                </c:pt>
                <c:pt idx="2">
                  <c:v>145379.53</c:v>
                </c:pt>
                <c:pt idx="3">
                  <c:v>143288.97</c:v>
                </c:pt>
                <c:pt idx="4">
                  <c:v>147939.35</c:v>
                </c:pt>
                <c:pt idx="5">
                  <c:v>152257.60999999999</c:v>
                </c:pt>
                <c:pt idx="6">
                  <c:v>153265.35</c:v>
                </c:pt>
                <c:pt idx="7">
                  <c:v>158383.81</c:v>
                </c:pt>
                <c:pt idx="8">
                  <c:v>166076.13</c:v>
                </c:pt>
                <c:pt idx="9">
                  <c:v>169907.08</c:v>
                </c:pt>
                <c:pt idx="10">
                  <c:v>176735.93</c:v>
                </c:pt>
                <c:pt idx="11">
                  <c:v>185514.31880000001</c:v>
                </c:pt>
              </c:numCache>
            </c:numRef>
          </c:yVal>
          <c:smooth val="0"/>
          <c:extLst>
            <c:ext xmlns:c16="http://schemas.microsoft.com/office/drawing/2014/chart" uri="{C3380CC4-5D6E-409C-BE32-E72D297353CC}">
              <c16:uniqueId val="{00000000-8A91-4A0E-B0C5-048ADB05BFDF}"/>
            </c:ext>
          </c:extLst>
        </c:ser>
        <c:ser>
          <c:idx val="1"/>
          <c:order val="1"/>
          <c:tx>
            <c:strRef>
              <c:f>'1.5 - 1.9 Housing Affordability'!$D$49</c:f>
              <c:strCache>
                <c:ptCount val="1"/>
                <c:pt idx="0">
                  <c:v>Scotland</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'1.5 - 1.9 Housing Affordability'!$B$50:$B$61</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xVal>
          <c:yVal>
            <c:numRef>
              <c:f>'1.5 - 1.9 Housing Affordability'!$D$50:$D$61</c:f>
              <c:numCache>
                <c:formatCode>"£"#,##0</c:formatCode>
                <c:ptCount val="12"/>
                <c:pt idx="0">
                  <c:v>156294.9</c:v>
                </c:pt>
                <c:pt idx="1">
                  <c:v>156184.85</c:v>
                </c:pt>
                <c:pt idx="2">
                  <c:v>154282.45000000001</c:v>
                </c:pt>
                <c:pt idx="3">
                  <c:v>156734.54999999999</c:v>
                </c:pt>
                <c:pt idx="4">
                  <c:v>163532.98000000001</c:v>
                </c:pt>
                <c:pt idx="5">
                  <c:v>168723.18</c:v>
                </c:pt>
                <c:pt idx="6">
                  <c:v>165670.99</c:v>
                </c:pt>
                <c:pt idx="7">
                  <c:v>172271.52</c:v>
                </c:pt>
                <c:pt idx="8">
                  <c:v>178568</c:v>
                </c:pt>
                <c:pt idx="9">
                  <c:v>180865.41</c:v>
                </c:pt>
                <c:pt idx="10">
                  <c:v>188901.9</c:v>
                </c:pt>
                <c:pt idx="11">
                  <c:v>201159.76199999999</c:v>
                </c:pt>
              </c:numCache>
            </c:numRef>
          </c:yVal>
          <c:smooth val="0"/>
          <c:extLst>
            <c:ext xmlns:c16="http://schemas.microsoft.com/office/drawing/2014/chart" uri="{C3380CC4-5D6E-409C-BE32-E72D297353CC}">
              <c16:uniqueId val="{00000001-8A91-4A0E-B0C5-048ADB05BFDF}"/>
            </c:ext>
          </c:extLst>
        </c:ser>
        <c:dLbls>
          <c:showLegendKey val="0"/>
          <c:showVal val="0"/>
          <c:showCatName val="0"/>
          <c:showSerName val="0"/>
          <c:showPercent val="0"/>
          <c:showBubbleSize val="0"/>
        </c:dLbls>
        <c:axId val="754820552"/>
        <c:axId val="754824160"/>
      </c:scatterChart>
      <c:valAx>
        <c:axId val="754820552"/>
        <c:scaling>
          <c:orientation val="minMax"/>
          <c:max val="2021"/>
          <c:min val="20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4824160"/>
        <c:crosses val="autoZero"/>
        <c:crossBetween val="midCat"/>
      </c:valAx>
      <c:valAx>
        <c:axId val="75482416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482055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Median House Sale Values 2010 -</a:t>
            </a:r>
            <a:r>
              <a:rPr lang="en-GB" baseline="0"/>
              <a:t> 2021</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'1.5 - 1.9 Housing Affordability'!$C$69</c:f>
              <c:strCache>
                <c:ptCount val="1"/>
                <c:pt idx="0">
                  <c:v>Moray</c:v>
                </c:pt>
              </c:strCache>
            </c:strRef>
          </c:tx>
          <c:spPr>
            <a:ln w="28575" cap="rnd">
              <a:solidFill>
                <a:schemeClr val="accent1"/>
              </a:solidFill>
              <a:round/>
            </a:ln>
            <a:effectLst/>
          </c:spPr>
          <c:marker>
            <c:symbol val="none"/>
          </c:marker>
          <c:cat>
            <c:numRef>
              <c:f>'1.5 - 1.9 Housing Affordability'!$B$70:$B$81</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cat>
          <c:val>
            <c:numRef>
              <c:f>'1.5 - 1.9 Housing Affordability'!$C$70:$C$81</c:f>
              <c:numCache>
                <c:formatCode>"£"#,##0</c:formatCode>
                <c:ptCount val="12"/>
                <c:pt idx="0">
                  <c:v>122500</c:v>
                </c:pt>
                <c:pt idx="1">
                  <c:v>120000</c:v>
                </c:pt>
                <c:pt idx="2">
                  <c:v>125000</c:v>
                </c:pt>
                <c:pt idx="3">
                  <c:v>129800</c:v>
                </c:pt>
                <c:pt idx="4">
                  <c:v>133575</c:v>
                </c:pt>
                <c:pt idx="5">
                  <c:v>138000</c:v>
                </c:pt>
                <c:pt idx="6">
                  <c:v>140000</c:v>
                </c:pt>
                <c:pt idx="7">
                  <c:v>144000</c:v>
                </c:pt>
                <c:pt idx="8">
                  <c:v>153000</c:v>
                </c:pt>
                <c:pt idx="9">
                  <c:v>157500</c:v>
                </c:pt>
                <c:pt idx="10">
                  <c:v>163000</c:v>
                </c:pt>
                <c:pt idx="11">
                  <c:v>161159</c:v>
                </c:pt>
              </c:numCache>
            </c:numRef>
          </c:val>
          <c:smooth val="0"/>
          <c:extLst>
            <c:ext xmlns:c16="http://schemas.microsoft.com/office/drawing/2014/chart" uri="{C3380CC4-5D6E-409C-BE32-E72D297353CC}">
              <c16:uniqueId val="{00000000-5DBC-4140-9C00-648C46E5DC5F}"/>
            </c:ext>
          </c:extLst>
        </c:ser>
        <c:ser>
          <c:idx val="1"/>
          <c:order val="1"/>
          <c:tx>
            <c:strRef>
              <c:f>'1.5 - 1.9 Housing Affordability'!$D$69</c:f>
              <c:strCache>
                <c:ptCount val="1"/>
                <c:pt idx="0">
                  <c:v>Scotland</c:v>
                </c:pt>
              </c:strCache>
            </c:strRef>
          </c:tx>
          <c:spPr>
            <a:ln w="28575" cap="rnd">
              <a:solidFill>
                <a:schemeClr val="accent2"/>
              </a:solidFill>
              <a:round/>
            </a:ln>
            <a:effectLst/>
          </c:spPr>
          <c:marker>
            <c:symbol val="none"/>
          </c:marker>
          <c:cat>
            <c:numRef>
              <c:f>'1.5 - 1.9 Housing Affordability'!$B$70:$B$81</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cat>
          <c:val>
            <c:numRef>
              <c:f>'1.5 - 1.9 Housing Affordability'!$D$70:$D$81</c:f>
              <c:numCache>
                <c:formatCode>"£"#,##0</c:formatCode>
                <c:ptCount val="12"/>
                <c:pt idx="0">
                  <c:v>127500</c:v>
                </c:pt>
                <c:pt idx="1">
                  <c:v>129000</c:v>
                </c:pt>
                <c:pt idx="2">
                  <c:v>125000</c:v>
                </c:pt>
                <c:pt idx="3">
                  <c:v>130000</c:v>
                </c:pt>
                <c:pt idx="4">
                  <c:v>135950</c:v>
                </c:pt>
                <c:pt idx="5">
                  <c:v>140000</c:v>
                </c:pt>
                <c:pt idx="6">
                  <c:v>140000</c:v>
                </c:pt>
                <c:pt idx="7">
                  <c:v>145000</c:v>
                </c:pt>
                <c:pt idx="8">
                  <c:v>151000</c:v>
                </c:pt>
                <c:pt idx="9">
                  <c:v>155000</c:v>
                </c:pt>
                <c:pt idx="10">
                  <c:v>162000</c:v>
                </c:pt>
                <c:pt idx="11">
                  <c:v>170050</c:v>
                </c:pt>
              </c:numCache>
            </c:numRef>
          </c:val>
          <c:smooth val="0"/>
          <c:extLst>
            <c:ext xmlns:c16="http://schemas.microsoft.com/office/drawing/2014/chart" uri="{C3380CC4-5D6E-409C-BE32-E72D297353CC}">
              <c16:uniqueId val="{00000001-5DBC-4140-9C00-648C46E5DC5F}"/>
            </c:ext>
          </c:extLst>
        </c:ser>
        <c:dLbls>
          <c:showLegendKey val="0"/>
          <c:showVal val="0"/>
          <c:showCatName val="0"/>
          <c:showSerName val="0"/>
          <c:showPercent val="0"/>
          <c:showBubbleSize val="0"/>
        </c:dLbls>
        <c:smooth val="0"/>
        <c:axId val="1313236616"/>
        <c:axId val="1313240880"/>
      </c:lineChart>
      <c:catAx>
        <c:axId val="1313236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13240880"/>
        <c:crosses val="autoZero"/>
        <c:auto val="1"/>
        <c:lblAlgn val="ctr"/>
        <c:lblOffset val="100"/>
        <c:noMultiLvlLbl val="0"/>
      </c:catAx>
      <c:valAx>
        <c:axId val="131324088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132366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House Sale Values 2018-2019 by</a:t>
            </a:r>
            <a:r>
              <a:rPr lang="en-GB" baseline="0"/>
              <a:t> Area</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400800370382471"/>
          <c:y val="0.11747985347985349"/>
          <c:w val="0.8481615148069318"/>
          <c:h val="0.75629777047099878"/>
        </c:manualLayout>
      </c:layout>
      <c:lineChart>
        <c:grouping val="standard"/>
        <c:varyColors val="0"/>
        <c:ser>
          <c:idx val="0"/>
          <c:order val="0"/>
          <c:tx>
            <c:strRef>
              <c:f>'1.5 - 1.9 Housing Affordability'!$B$98</c:f>
              <c:strCache>
                <c:ptCount val="1"/>
                <c:pt idx="0">
                  <c:v>Buckie</c:v>
                </c:pt>
              </c:strCache>
            </c:strRef>
          </c:tx>
          <c:spPr>
            <a:ln w="28575" cap="rnd">
              <a:solidFill>
                <a:schemeClr val="accent1"/>
              </a:solidFill>
              <a:round/>
            </a:ln>
            <a:effectLst/>
          </c:spPr>
          <c:marker>
            <c:symbol val="none"/>
          </c:marker>
          <c:cat>
            <c:strRef>
              <c:f>'1.5 - 1.9 Housing Affordability'!$C$96:$L$97</c:f>
              <c:strCache>
                <c:ptCount val="8"/>
                <c:pt idx="0">
                  <c:v>Average</c:v>
                </c:pt>
                <c:pt idx="1">
                  <c:v>Median</c:v>
                </c:pt>
                <c:pt idx="2">
                  <c:v>Maximum</c:v>
                </c:pt>
                <c:pt idx="3">
                  <c:v>Minimum</c:v>
                </c:pt>
                <c:pt idx="4">
                  <c:v>Quartile 1</c:v>
                </c:pt>
                <c:pt idx="5">
                  <c:v>Quartile 2</c:v>
                </c:pt>
                <c:pt idx="6">
                  <c:v>Quartile 3</c:v>
                </c:pt>
                <c:pt idx="7">
                  <c:v>Quartile 4</c:v>
                </c:pt>
              </c:strCache>
            </c:strRef>
          </c:cat>
          <c:val>
            <c:numRef>
              <c:f>'1.5 - 1.9 Housing Affordability'!$C$98:$J$98</c:f>
              <c:numCache>
                <c:formatCode>"£"#,##0</c:formatCode>
                <c:ptCount val="8"/>
                <c:pt idx="0">
                  <c:v>143070</c:v>
                </c:pt>
                <c:pt idx="1">
                  <c:v>127000</c:v>
                </c:pt>
                <c:pt idx="2">
                  <c:v>420000</c:v>
                </c:pt>
                <c:pt idx="3">
                  <c:v>28000</c:v>
                </c:pt>
                <c:pt idx="4">
                  <c:v>90000</c:v>
                </c:pt>
                <c:pt idx="5">
                  <c:v>127000</c:v>
                </c:pt>
                <c:pt idx="6">
                  <c:v>18000</c:v>
                </c:pt>
                <c:pt idx="7">
                  <c:v>420000</c:v>
                </c:pt>
              </c:numCache>
            </c:numRef>
          </c:val>
          <c:smooth val="0"/>
          <c:extLst>
            <c:ext xmlns:c16="http://schemas.microsoft.com/office/drawing/2014/chart" uri="{C3380CC4-5D6E-409C-BE32-E72D297353CC}">
              <c16:uniqueId val="{00000000-4BC1-470B-BD0B-00F84B5981D9}"/>
            </c:ext>
          </c:extLst>
        </c:ser>
        <c:ser>
          <c:idx val="1"/>
          <c:order val="1"/>
          <c:tx>
            <c:strRef>
              <c:f>'1.5 - 1.9 Housing Affordability'!$B$99</c:f>
              <c:strCache>
                <c:ptCount val="1"/>
                <c:pt idx="0">
                  <c:v>Cairngorms</c:v>
                </c:pt>
              </c:strCache>
            </c:strRef>
          </c:tx>
          <c:spPr>
            <a:ln w="28575" cap="rnd">
              <a:solidFill>
                <a:schemeClr val="accent2"/>
              </a:solidFill>
              <a:round/>
            </a:ln>
            <a:effectLst/>
          </c:spPr>
          <c:marker>
            <c:symbol val="none"/>
          </c:marker>
          <c:cat>
            <c:strRef>
              <c:f>'1.5 - 1.9 Housing Affordability'!$C$96:$L$97</c:f>
              <c:strCache>
                <c:ptCount val="8"/>
                <c:pt idx="0">
                  <c:v>Average</c:v>
                </c:pt>
                <c:pt idx="1">
                  <c:v>Median</c:v>
                </c:pt>
                <c:pt idx="2">
                  <c:v>Maximum</c:v>
                </c:pt>
                <c:pt idx="3">
                  <c:v>Minimum</c:v>
                </c:pt>
                <c:pt idx="4">
                  <c:v>Quartile 1</c:v>
                </c:pt>
                <c:pt idx="5">
                  <c:v>Quartile 2</c:v>
                </c:pt>
                <c:pt idx="6">
                  <c:v>Quartile 3</c:v>
                </c:pt>
                <c:pt idx="7">
                  <c:v>Quartile 4</c:v>
                </c:pt>
              </c:strCache>
            </c:strRef>
          </c:cat>
          <c:val>
            <c:numRef>
              <c:f>'1.5 - 1.9 Housing Affordability'!$C$99:$J$99</c:f>
              <c:numCache>
                <c:formatCode>"£"#,##0</c:formatCode>
                <c:ptCount val="8"/>
                <c:pt idx="0">
                  <c:v>139319</c:v>
                </c:pt>
                <c:pt idx="1">
                  <c:v>122500</c:v>
                </c:pt>
                <c:pt idx="2">
                  <c:v>468000</c:v>
                </c:pt>
                <c:pt idx="3">
                  <c:v>24600</c:v>
                </c:pt>
                <c:pt idx="4">
                  <c:v>82500</c:v>
                </c:pt>
                <c:pt idx="5">
                  <c:v>130000</c:v>
                </c:pt>
                <c:pt idx="6">
                  <c:v>180500</c:v>
                </c:pt>
                <c:pt idx="7">
                  <c:v>468000</c:v>
                </c:pt>
              </c:numCache>
            </c:numRef>
          </c:val>
          <c:smooth val="0"/>
          <c:extLst>
            <c:ext xmlns:c16="http://schemas.microsoft.com/office/drawing/2014/chart" uri="{C3380CC4-5D6E-409C-BE32-E72D297353CC}">
              <c16:uniqueId val="{00000001-4BC1-470B-BD0B-00F84B5981D9}"/>
            </c:ext>
          </c:extLst>
        </c:ser>
        <c:ser>
          <c:idx val="2"/>
          <c:order val="2"/>
          <c:tx>
            <c:strRef>
              <c:f>'1.5 - 1.9 Housing Affordability'!$B$100</c:f>
              <c:strCache>
                <c:ptCount val="1"/>
                <c:pt idx="0">
                  <c:v>Elgin</c:v>
                </c:pt>
              </c:strCache>
            </c:strRef>
          </c:tx>
          <c:spPr>
            <a:ln w="28575" cap="rnd">
              <a:solidFill>
                <a:schemeClr val="accent3"/>
              </a:solidFill>
              <a:round/>
            </a:ln>
            <a:effectLst/>
          </c:spPr>
          <c:marker>
            <c:symbol val="none"/>
          </c:marker>
          <c:cat>
            <c:strRef>
              <c:f>'1.5 - 1.9 Housing Affordability'!$C$96:$L$97</c:f>
              <c:strCache>
                <c:ptCount val="8"/>
                <c:pt idx="0">
                  <c:v>Average</c:v>
                </c:pt>
                <c:pt idx="1">
                  <c:v>Median</c:v>
                </c:pt>
                <c:pt idx="2">
                  <c:v>Maximum</c:v>
                </c:pt>
                <c:pt idx="3">
                  <c:v>Minimum</c:v>
                </c:pt>
                <c:pt idx="4">
                  <c:v>Quartile 1</c:v>
                </c:pt>
                <c:pt idx="5">
                  <c:v>Quartile 2</c:v>
                </c:pt>
                <c:pt idx="6">
                  <c:v>Quartile 3</c:v>
                </c:pt>
                <c:pt idx="7">
                  <c:v>Quartile 4</c:v>
                </c:pt>
              </c:strCache>
            </c:strRef>
          </c:cat>
          <c:val>
            <c:numRef>
              <c:f>'1.5 - 1.9 Housing Affordability'!$C$100:$J$100</c:f>
              <c:numCache>
                <c:formatCode>"£"#,##0</c:formatCode>
                <c:ptCount val="8"/>
                <c:pt idx="0">
                  <c:v>173675</c:v>
                </c:pt>
                <c:pt idx="1">
                  <c:v>165000</c:v>
                </c:pt>
                <c:pt idx="2">
                  <c:v>662000</c:v>
                </c:pt>
                <c:pt idx="3">
                  <c:v>20000</c:v>
                </c:pt>
                <c:pt idx="4">
                  <c:v>113000</c:v>
                </c:pt>
                <c:pt idx="5">
                  <c:v>165000</c:v>
                </c:pt>
                <c:pt idx="6">
                  <c:v>220000</c:v>
                </c:pt>
                <c:pt idx="7">
                  <c:v>662000</c:v>
                </c:pt>
              </c:numCache>
            </c:numRef>
          </c:val>
          <c:smooth val="0"/>
          <c:extLst>
            <c:ext xmlns:c16="http://schemas.microsoft.com/office/drawing/2014/chart" uri="{C3380CC4-5D6E-409C-BE32-E72D297353CC}">
              <c16:uniqueId val="{00000002-4BC1-470B-BD0B-00F84B5981D9}"/>
            </c:ext>
          </c:extLst>
        </c:ser>
        <c:ser>
          <c:idx val="3"/>
          <c:order val="3"/>
          <c:tx>
            <c:strRef>
              <c:f>'1.5 - 1.9 Housing Affordability'!$B$101</c:f>
              <c:strCache>
                <c:ptCount val="1"/>
                <c:pt idx="0">
                  <c:v>Forres</c:v>
                </c:pt>
              </c:strCache>
            </c:strRef>
          </c:tx>
          <c:spPr>
            <a:ln w="28575" cap="rnd">
              <a:solidFill>
                <a:schemeClr val="accent4"/>
              </a:solidFill>
              <a:round/>
            </a:ln>
            <a:effectLst/>
          </c:spPr>
          <c:marker>
            <c:symbol val="none"/>
          </c:marker>
          <c:cat>
            <c:strRef>
              <c:f>'1.5 - 1.9 Housing Affordability'!$C$96:$L$97</c:f>
              <c:strCache>
                <c:ptCount val="8"/>
                <c:pt idx="0">
                  <c:v>Average</c:v>
                </c:pt>
                <c:pt idx="1">
                  <c:v>Median</c:v>
                </c:pt>
                <c:pt idx="2">
                  <c:v>Maximum</c:v>
                </c:pt>
                <c:pt idx="3">
                  <c:v>Minimum</c:v>
                </c:pt>
                <c:pt idx="4">
                  <c:v>Quartile 1</c:v>
                </c:pt>
                <c:pt idx="5">
                  <c:v>Quartile 2</c:v>
                </c:pt>
                <c:pt idx="6">
                  <c:v>Quartile 3</c:v>
                </c:pt>
                <c:pt idx="7">
                  <c:v>Quartile 4</c:v>
                </c:pt>
              </c:strCache>
            </c:strRef>
          </c:cat>
          <c:val>
            <c:numRef>
              <c:f>'1.5 - 1.9 Housing Affordability'!$C$101:$J$101</c:f>
              <c:numCache>
                <c:formatCode>"£"#,##0</c:formatCode>
                <c:ptCount val="8"/>
                <c:pt idx="0">
                  <c:v>175340</c:v>
                </c:pt>
                <c:pt idx="1">
                  <c:v>155000</c:v>
                </c:pt>
                <c:pt idx="2">
                  <c:v>700000</c:v>
                </c:pt>
                <c:pt idx="3">
                  <c:v>20500</c:v>
                </c:pt>
                <c:pt idx="4">
                  <c:v>110000</c:v>
                </c:pt>
                <c:pt idx="5">
                  <c:v>155000</c:v>
                </c:pt>
                <c:pt idx="6">
                  <c:v>212277</c:v>
                </c:pt>
                <c:pt idx="7">
                  <c:v>700000</c:v>
                </c:pt>
              </c:numCache>
            </c:numRef>
          </c:val>
          <c:smooth val="0"/>
          <c:extLst>
            <c:ext xmlns:c16="http://schemas.microsoft.com/office/drawing/2014/chart" uri="{C3380CC4-5D6E-409C-BE32-E72D297353CC}">
              <c16:uniqueId val="{00000003-4BC1-470B-BD0B-00F84B5981D9}"/>
            </c:ext>
          </c:extLst>
        </c:ser>
        <c:ser>
          <c:idx val="4"/>
          <c:order val="4"/>
          <c:tx>
            <c:strRef>
              <c:f>'1.5 - 1.9 Housing Affordability'!$B$102</c:f>
              <c:strCache>
                <c:ptCount val="1"/>
                <c:pt idx="0">
                  <c:v>Keith</c:v>
                </c:pt>
              </c:strCache>
            </c:strRef>
          </c:tx>
          <c:spPr>
            <a:ln w="28575" cap="rnd">
              <a:solidFill>
                <a:schemeClr val="accent5"/>
              </a:solidFill>
              <a:round/>
            </a:ln>
            <a:effectLst/>
          </c:spPr>
          <c:marker>
            <c:symbol val="none"/>
          </c:marker>
          <c:cat>
            <c:strRef>
              <c:f>'1.5 - 1.9 Housing Affordability'!$C$96:$L$97</c:f>
              <c:strCache>
                <c:ptCount val="8"/>
                <c:pt idx="0">
                  <c:v>Average</c:v>
                </c:pt>
                <c:pt idx="1">
                  <c:v>Median</c:v>
                </c:pt>
                <c:pt idx="2">
                  <c:v>Maximum</c:v>
                </c:pt>
                <c:pt idx="3">
                  <c:v>Minimum</c:v>
                </c:pt>
                <c:pt idx="4">
                  <c:v>Quartile 1</c:v>
                </c:pt>
                <c:pt idx="5">
                  <c:v>Quartile 2</c:v>
                </c:pt>
                <c:pt idx="6">
                  <c:v>Quartile 3</c:v>
                </c:pt>
                <c:pt idx="7">
                  <c:v>Quartile 4</c:v>
                </c:pt>
              </c:strCache>
            </c:strRef>
          </c:cat>
          <c:val>
            <c:numRef>
              <c:f>'1.5 - 1.9 Housing Affordability'!$C$102:$J$102</c:f>
              <c:numCache>
                <c:formatCode>"£"#,##0</c:formatCode>
                <c:ptCount val="8"/>
                <c:pt idx="0">
                  <c:v>156243</c:v>
                </c:pt>
                <c:pt idx="1">
                  <c:v>135000</c:v>
                </c:pt>
                <c:pt idx="2">
                  <c:v>520000</c:v>
                </c:pt>
                <c:pt idx="3">
                  <c:v>40000</c:v>
                </c:pt>
                <c:pt idx="4">
                  <c:v>102500</c:v>
                </c:pt>
                <c:pt idx="5">
                  <c:v>135000</c:v>
                </c:pt>
                <c:pt idx="6">
                  <c:v>200000</c:v>
                </c:pt>
                <c:pt idx="7">
                  <c:v>520000</c:v>
                </c:pt>
              </c:numCache>
            </c:numRef>
          </c:val>
          <c:smooth val="0"/>
          <c:extLst>
            <c:ext xmlns:c16="http://schemas.microsoft.com/office/drawing/2014/chart" uri="{C3380CC4-5D6E-409C-BE32-E72D297353CC}">
              <c16:uniqueId val="{00000004-4BC1-470B-BD0B-00F84B5981D9}"/>
            </c:ext>
          </c:extLst>
        </c:ser>
        <c:ser>
          <c:idx val="5"/>
          <c:order val="5"/>
          <c:tx>
            <c:strRef>
              <c:f>'1.5 - 1.9 Housing Affordability'!$B$103</c:f>
              <c:strCache>
                <c:ptCount val="1"/>
                <c:pt idx="0">
                  <c:v>Speyside</c:v>
                </c:pt>
              </c:strCache>
            </c:strRef>
          </c:tx>
          <c:spPr>
            <a:ln w="28575" cap="rnd">
              <a:solidFill>
                <a:schemeClr val="accent6"/>
              </a:solidFill>
              <a:round/>
            </a:ln>
            <a:effectLst/>
          </c:spPr>
          <c:marker>
            <c:symbol val="none"/>
          </c:marker>
          <c:cat>
            <c:strRef>
              <c:f>'1.5 - 1.9 Housing Affordability'!$C$96:$L$97</c:f>
              <c:strCache>
                <c:ptCount val="8"/>
                <c:pt idx="0">
                  <c:v>Average</c:v>
                </c:pt>
                <c:pt idx="1">
                  <c:v>Median</c:v>
                </c:pt>
                <c:pt idx="2">
                  <c:v>Maximum</c:v>
                </c:pt>
                <c:pt idx="3">
                  <c:v>Minimum</c:v>
                </c:pt>
                <c:pt idx="4">
                  <c:v>Quartile 1</c:v>
                </c:pt>
                <c:pt idx="5">
                  <c:v>Quartile 2</c:v>
                </c:pt>
                <c:pt idx="6">
                  <c:v>Quartile 3</c:v>
                </c:pt>
                <c:pt idx="7">
                  <c:v>Quartile 4</c:v>
                </c:pt>
              </c:strCache>
            </c:strRef>
          </c:cat>
          <c:val>
            <c:numRef>
              <c:f>'1.5 - 1.9 Housing Affordability'!$C$103:$J$103</c:f>
              <c:numCache>
                <c:formatCode>"£"#,##0</c:formatCode>
                <c:ptCount val="8"/>
                <c:pt idx="0">
                  <c:v>158403</c:v>
                </c:pt>
                <c:pt idx="1">
                  <c:v>133250</c:v>
                </c:pt>
                <c:pt idx="2">
                  <c:v>435000</c:v>
                </c:pt>
                <c:pt idx="3">
                  <c:v>32000</c:v>
                </c:pt>
                <c:pt idx="4">
                  <c:v>100000</c:v>
                </c:pt>
                <c:pt idx="5">
                  <c:v>126500</c:v>
                </c:pt>
                <c:pt idx="6">
                  <c:v>205000</c:v>
                </c:pt>
                <c:pt idx="7">
                  <c:v>435000</c:v>
                </c:pt>
              </c:numCache>
            </c:numRef>
          </c:val>
          <c:smooth val="0"/>
          <c:extLst>
            <c:ext xmlns:c16="http://schemas.microsoft.com/office/drawing/2014/chart" uri="{C3380CC4-5D6E-409C-BE32-E72D297353CC}">
              <c16:uniqueId val="{00000005-4BC1-470B-BD0B-00F84B5981D9}"/>
            </c:ext>
          </c:extLst>
        </c:ser>
        <c:ser>
          <c:idx val="6"/>
          <c:order val="6"/>
          <c:tx>
            <c:strRef>
              <c:f>'1.5 - 1.9 Housing Affordability'!$B$104</c:f>
              <c:strCache>
                <c:ptCount val="1"/>
                <c:pt idx="0">
                  <c:v>Moray </c:v>
                </c:pt>
              </c:strCache>
            </c:strRef>
          </c:tx>
          <c:spPr>
            <a:ln w="28575" cap="rnd">
              <a:solidFill>
                <a:schemeClr val="accent1">
                  <a:lumMod val="60000"/>
                </a:schemeClr>
              </a:solidFill>
              <a:round/>
            </a:ln>
            <a:effectLst/>
          </c:spPr>
          <c:marker>
            <c:symbol val="none"/>
          </c:marker>
          <c:cat>
            <c:strRef>
              <c:f>'1.5 - 1.9 Housing Affordability'!$C$96:$L$97</c:f>
              <c:strCache>
                <c:ptCount val="8"/>
                <c:pt idx="0">
                  <c:v>Average</c:v>
                </c:pt>
                <c:pt idx="1">
                  <c:v>Median</c:v>
                </c:pt>
                <c:pt idx="2">
                  <c:v>Maximum</c:v>
                </c:pt>
                <c:pt idx="3">
                  <c:v>Minimum</c:v>
                </c:pt>
                <c:pt idx="4">
                  <c:v>Quartile 1</c:v>
                </c:pt>
                <c:pt idx="5">
                  <c:v>Quartile 2</c:v>
                </c:pt>
                <c:pt idx="6">
                  <c:v>Quartile 3</c:v>
                </c:pt>
                <c:pt idx="7">
                  <c:v>Quartile 4</c:v>
                </c:pt>
              </c:strCache>
            </c:strRef>
          </c:cat>
          <c:val>
            <c:numRef>
              <c:f>'1.5 - 1.9 Housing Affordability'!$C$104:$J$104</c:f>
              <c:numCache>
                <c:formatCode>"£"#,##0</c:formatCode>
                <c:ptCount val="8"/>
                <c:pt idx="0">
                  <c:v>166487</c:v>
                </c:pt>
                <c:pt idx="1">
                  <c:v>150000</c:v>
                </c:pt>
                <c:pt idx="2">
                  <c:v>700000</c:v>
                </c:pt>
                <c:pt idx="3">
                  <c:v>20000</c:v>
                </c:pt>
                <c:pt idx="4">
                  <c:v>105000</c:v>
                </c:pt>
                <c:pt idx="5">
                  <c:v>150000</c:v>
                </c:pt>
                <c:pt idx="6">
                  <c:v>210950</c:v>
                </c:pt>
                <c:pt idx="7">
                  <c:v>700000</c:v>
                </c:pt>
              </c:numCache>
            </c:numRef>
          </c:val>
          <c:smooth val="0"/>
          <c:extLst>
            <c:ext xmlns:c16="http://schemas.microsoft.com/office/drawing/2014/chart" uri="{C3380CC4-5D6E-409C-BE32-E72D297353CC}">
              <c16:uniqueId val="{00000006-4BC1-470B-BD0B-00F84B5981D9}"/>
            </c:ext>
          </c:extLst>
        </c:ser>
        <c:ser>
          <c:idx val="7"/>
          <c:order val="7"/>
          <c:tx>
            <c:strRef>
              <c:f>'1.5 - 1.9 Housing Affordability'!$B$105</c:f>
              <c:strCache>
                <c:ptCount val="1"/>
                <c:pt idx="0">
                  <c:v>Source: CHMA - Housing Need and Demand Assessment (HNDA) Datapack </c:v>
                </c:pt>
              </c:strCache>
            </c:strRef>
          </c:tx>
          <c:spPr>
            <a:ln w="28575" cap="rnd">
              <a:solidFill>
                <a:schemeClr val="accent2">
                  <a:lumMod val="60000"/>
                </a:schemeClr>
              </a:solidFill>
              <a:round/>
            </a:ln>
            <a:effectLst/>
          </c:spPr>
          <c:marker>
            <c:symbol val="none"/>
          </c:marker>
          <c:cat>
            <c:strRef>
              <c:f>'1.5 - 1.9 Housing Affordability'!$C$96:$L$97</c:f>
              <c:strCache>
                <c:ptCount val="8"/>
                <c:pt idx="0">
                  <c:v>Average</c:v>
                </c:pt>
                <c:pt idx="1">
                  <c:v>Median</c:v>
                </c:pt>
                <c:pt idx="2">
                  <c:v>Maximum</c:v>
                </c:pt>
                <c:pt idx="3">
                  <c:v>Minimum</c:v>
                </c:pt>
                <c:pt idx="4">
                  <c:v>Quartile 1</c:v>
                </c:pt>
                <c:pt idx="5">
                  <c:v>Quartile 2</c:v>
                </c:pt>
                <c:pt idx="6">
                  <c:v>Quartile 3</c:v>
                </c:pt>
                <c:pt idx="7">
                  <c:v>Quartile 4</c:v>
                </c:pt>
              </c:strCache>
            </c:strRef>
          </c:cat>
          <c:val>
            <c:numRef>
              <c:f>'1.5 - 1.9 Housing Affordability'!$C$105:$L$105</c:f>
              <c:numCache>
                <c:formatCode>General</c:formatCode>
                <c:ptCount val="10"/>
              </c:numCache>
            </c:numRef>
          </c:val>
          <c:smooth val="0"/>
          <c:extLst>
            <c:ext xmlns:c16="http://schemas.microsoft.com/office/drawing/2014/chart" uri="{C3380CC4-5D6E-409C-BE32-E72D297353CC}">
              <c16:uniqueId val="{00000007-4BC1-470B-BD0B-00F84B5981D9}"/>
            </c:ext>
          </c:extLst>
        </c:ser>
        <c:dLbls>
          <c:showLegendKey val="0"/>
          <c:showVal val="0"/>
          <c:showCatName val="0"/>
          <c:showSerName val="0"/>
          <c:showPercent val="0"/>
          <c:showBubbleSize val="0"/>
        </c:dLbls>
        <c:smooth val="0"/>
        <c:axId val="834669160"/>
        <c:axId val="834669488"/>
      </c:lineChart>
      <c:catAx>
        <c:axId val="834669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4669488"/>
        <c:crosses val="autoZero"/>
        <c:auto val="1"/>
        <c:lblAlgn val="ctr"/>
        <c:lblOffset val="100"/>
        <c:noMultiLvlLbl val="0"/>
      </c:catAx>
      <c:valAx>
        <c:axId val="83466948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4669160"/>
        <c:crosses val="autoZero"/>
        <c:crossBetween val="between"/>
      </c:valAx>
      <c:spPr>
        <a:noFill/>
        <a:ln>
          <a:noFill/>
        </a:ln>
        <a:effectLst/>
      </c:spPr>
    </c:plotArea>
    <c:legend>
      <c:legendPos val="b"/>
      <c:legendEntry>
        <c:idx val="7"/>
        <c:delete val="1"/>
      </c:legendEntry>
      <c:layout>
        <c:manualLayout>
          <c:xMode val="edge"/>
          <c:yMode val="edge"/>
          <c:x val="4.4928056309345515E-2"/>
          <c:y val="0.94102994070185675"/>
          <c:w val="0.92315395603798089"/>
          <c:h val="5.710699868100244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Average PRS</a:t>
            </a:r>
            <a:r>
              <a:rPr lang="en-GB" baseline="0"/>
              <a:t> Monthly Rents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'1.5 - 1.9 Housing Affordability'!$B$110</c:f>
              <c:strCache>
                <c:ptCount val="1"/>
                <c:pt idx="0">
                  <c:v>Moray</c:v>
                </c:pt>
              </c:strCache>
            </c:strRef>
          </c:tx>
          <c:spPr>
            <a:solidFill>
              <a:schemeClr val="accent1"/>
            </a:solidFill>
            <a:ln>
              <a:noFill/>
            </a:ln>
            <a:effectLst/>
          </c:spPr>
          <c:invertIfNegative val="0"/>
          <c:cat>
            <c:numRef>
              <c:f>'1.5 - 1.9 Housing Affordability'!$C$109:$E$109</c:f>
              <c:numCache>
                <c:formatCode>General</c:formatCode>
                <c:ptCount val="3"/>
                <c:pt idx="0">
                  <c:v>2011</c:v>
                </c:pt>
                <c:pt idx="1">
                  <c:v>2020</c:v>
                </c:pt>
                <c:pt idx="2">
                  <c:v>2021</c:v>
                </c:pt>
              </c:numCache>
            </c:numRef>
          </c:cat>
          <c:val>
            <c:numRef>
              <c:f>'1.5 - 1.9 Housing Affordability'!$C$110:$E$110</c:f>
              <c:numCache>
                <c:formatCode>"£"#,##0.00</c:formatCode>
                <c:ptCount val="3"/>
                <c:pt idx="0">
                  <c:v>574.75</c:v>
                </c:pt>
                <c:pt idx="1">
                  <c:v>689</c:v>
                </c:pt>
                <c:pt idx="2">
                  <c:v>695.75</c:v>
                </c:pt>
              </c:numCache>
            </c:numRef>
          </c:val>
          <c:extLst>
            <c:ext xmlns:c16="http://schemas.microsoft.com/office/drawing/2014/chart" uri="{C3380CC4-5D6E-409C-BE32-E72D297353CC}">
              <c16:uniqueId val="{00000000-87B5-4A4C-B678-B7516B28572F}"/>
            </c:ext>
          </c:extLst>
        </c:ser>
        <c:ser>
          <c:idx val="1"/>
          <c:order val="1"/>
          <c:tx>
            <c:strRef>
              <c:f>'1.5 - 1.9 Housing Affordability'!$B$111</c:f>
              <c:strCache>
                <c:ptCount val="1"/>
                <c:pt idx="0">
                  <c:v>Scotland</c:v>
                </c:pt>
              </c:strCache>
            </c:strRef>
          </c:tx>
          <c:spPr>
            <a:solidFill>
              <a:schemeClr val="accent2"/>
            </a:solidFill>
            <a:ln>
              <a:noFill/>
            </a:ln>
            <a:effectLst/>
          </c:spPr>
          <c:invertIfNegative val="0"/>
          <c:cat>
            <c:numRef>
              <c:f>'1.5 - 1.9 Housing Affordability'!$C$109:$E$109</c:f>
              <c:numCache>
                <c:formatCode>General</c:formatCode>
                <c:ptCount val="3"/>
                <c:pt idx="0">
                  <c:v>2011</c:v>
                </c:pt>
                <c:pt idx="1">
                  <c:v>2020</c:v>
                </c:pt>
                <c:pt idx="2">
                  <c:v>2021</c:v>
                </c:pt>
              </c:numCache>
            </c:numRef>
          </c:cat>
          <c:val>
            <c:numRef>
              <c:f>'1.5 - 1.9 Housing Affordability'!$C$111:$E$111</c:f>
              <c:numCache>
                <c:formatCode>"£"#,##0.00</c:formatCode>
                <c:ptCount val="3"/>
                <c:pt idx="0">
                  <c:v>674.75</c:v>
                </c:pt>
                <c:pt idx="1">
                  <c:v>854.25</c:v>
                </c:pt>
                <c:pt idx="2">
                  <c:v>860.25</c:v>
                </c:pt>
              </c:numCache>
            </c:numRef>
          </c:val>
          <c:extLst>
            <c:ext xmlns:c16="http://schemas.microsoft.com/office/drawing/2014/chart" uri="{C3380CC4-5D6E-409C-BE32-E72D297353CC}">
              <c16:uniqueId val="{00000001-87B5-4A4C-B678-B7516B28572F}"/>
            </c:ext>
          </c:extLst>
        </c:ser>
        <c:dLbls>
          <c:showLegendKey val="0"/>
          <c:showVal val="0"/>
          <c:showCatName val="0"/>
          <c:showSerName val="0"/>
          <c:showPercent val="0"/>
          <c:showBubbleSize val="0"/>
        </c:dLbls>
        <c:gapWidth val="219"/>
        <c:overlap val="-27"/>
        <c:axId val="1204438120"/>
        <c:axId val="1204440744"/>
      </c:barChart>
      <c:catAx>
        <c:axId val="1204438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4440744"/>
        <c:crosses val="autoZero"/>
        <c:auto val="1"/>
        <c:lblAlgn val="ctr"/>
        <c:lblOffset val="100"/>
        <c:noMultiLvlLbl val="0"/>
      </c:catAx>
      <c:valAx>
        <c:axId val="120444074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4438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r>
              <a:rPr lang="en-US" sz="1600">
                <a:solidFill>
                  <a:sysClr val="windowText" lastClr="000000"/>
                </a:solidFill>
              </a:rPr>
              <a:t>Volume</a:t>
            </a:r>
            <a:r>
              <a:rPr lang="en-US" sz="1600" baseline="0">
                <a:solidFill>
                  <a:sysClr val="windowText" lastClr="000000"/>
                </a:solidFill>
              </a:rPr>
              <a:t> of Residential Sales Moray 2011 - 2021</a:t>
            </a:r>
            <a:endParaRPr lang="en-US" sz="1600">
              <a:solidFill>
                <a:sysClr val="windowText" lastClr="000000"/>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'1.5 - 1.9 Housing Affordability'!$C$6</c:f>
              <c:strCache>
                <c:ptCount val="1"/>
                <c:pt idx="0">
                  <c:v>Moray</c:v>
                </c:pt>
              </c:strCache>
            </c:strRef>
          </c:tx>
          <c:spPr>
            <a:ln w="28575" cap="rnd">
              <a:solidFill>
                <a:schemeClr val="accent1"/>
              </a:solidFill>
              <a:round/>
            </a:ln>
            <a:effectLst/>
          </c:spPr>
          <c:marker>
            <c:symbol val="none"/>
          </c:marker>
          <c:dLbls>
            <c:dLbl>
              <c:idx val="0"/>
              <c:layout>
                <c:manualLayout>
                  <c:x val="-3.182301211529636E-2"/>
                  <c:y val="8.0716499041744286E-2"/>
                </c:manualLayout>
              </c:layout>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757-4863-BCB2-D36E34BE4D06}"/>
                </c:ext>
              </c:extLst>
            </c:dLbl>
            <c:dLbl>
              <c:idx val="10"/>
              <c:layout>
                <c:manualLayout>
                  <c:x val="-2.7483510463210372E-2"/>
                  <c:y val="-6.604077194324541E-2"/>
                </c:manualLayout>
              </c:layout>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757-4863-BCB2-D36E34BE4D0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'1.5 - 1.9 Housing Affordability'!$B$7:$B$24</c15:sqref>
                  </c15:fullRef>
                </c:ext>
              </c:extLst>
              <c:f>'1.5 - 1.9 Housing Affordability'!$B$14:$B$24</c:f>
              <c:numCache>
                <c:formatCode>General</c:formatCode>
                <c:ptCount val="11"/>
                <c:pt idx="0">
                  <c:v>2011</c:v>
                </c:pt>
                <c:pt idx="1">
                  <c:v>2012</c:v>
                </c:pt>
                <c:pt idx="2">
                  <c:v>2013</c:v>
                </c:pt>
                <c:pt idx="3">
                  <c:v>2014</c:v>
                </c:pt>
                <c:pt idx="4">
                  <c:v>2015</c:v>
                </c:pt>
                <c:pt idx="5">
                  <c:v>2016</c:v>
                </c:pt>
                <c:pt idx="6">
                  <c:v>2017</c:v>
                </c:pt>
                <c:pt idx="7">
                  <c:v>2018</c:v>
                </c:pt>
                <c:pt idx="8">
                  <c:v>2019</c:v>
                </c:pt>
                <c:pt idx="9">
                  <c:v>2020</c:v>
                </c:pt>
                <c:pt idx="10">
                  <c:v>2021</c:v>
                </c:pt>
              </c:numCache>
            </c:numRef>
          </c:cat>
          <c:val>
            <c:numRef>
              <c:extLst>
                <c:ext xmlns:c15="http://schemas.microsoft.com/office/drawing/2012/chart" uri="{02D57815-91ED-43cb-92C2-25804820EDAC}">
                  <c15:fullRef>
                    <c15:sqref>'1.5 - 1.9 Housing Affordability'!$C$7:$C$24</c15:sqref>
                  </c15:fullRef>
                </c:ext>
              </c:extLst>
              <c:f>'1.5 - 1.9 Housing Affordability'!$C$14:$C$24</c:f>
              <c:numCache>
                <c:formatCode>_-* #,##0_-;\-* #,##0_-;_-* "-"??_-;_-@_-</c:formatCode>
                <c:ptCount val="11"/>
                <c:pt idx="0">
                  <c:v>1173</c:v>
                </c:pt>
                <c:pt idx="1">
                  <c:v>1382</c:v>
                </c:pt>
                <c:pt idx="2">
                  <c:v>1441</c:v>
                </c:pt>
                <c:pt idx="3">
                  <c:v>1784</c:v>
                </c:pt>
                <c:pt idx="4">
                  <c:v>1692</c:v>
                </c:pt>
                <c:pt idx="5">
                  <c:v>1770</c:v>
                </c:pt>
                <c:pt idx="6">
                  <c:v>1772</c:v>
                </c:pt>
                <c:pt idx="7">
                  <c:v>1668</c:v>
                </c:pt>
                <c:pt idx="8">
                  <c:v>1699</c:v>
                </c:pt>
                <c:pt idx="9">
                  <c:v>1429</c:v>
                </c:pt>
                <c:pt idx="10">
                  <c:v>1954</c:v>
                </c:pt>
              </c:numCache>
            </c:numRef>
          </c:val>
          <c:smooth val="0"/>
          <c:extLst>
            <c:ext xmlns:c16="http://schemas.microsoft.com/office/drawing/2014/chart" uri="{C3380CC4-5D6E-409C-BE32-E72D297353CC}">
              <c16:uniqueId val="{00000000-9757-4863-BCB2-D36E34BE4D06}"/>
            </c:ext>
          </c:extLst>
        </c:ser>
        <c:dLbls>
          <c:showLegendKey val="0"/>
          <c:showVal val="0"/>
          <c:showCatName val="0"/>
          <c:showSerName val="0"/>
          <c:showPercent val="0"/>
          <c:showBubbleSize val="0"/>
        </c:dLbls>
        <c:smooth val="0"/>
        <c:axId val="586069520"/>
        <c:axId val="586063944"/>
      </c:lineChart>
      <c:catAx>
        <c:axId val="586069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586063944"/>
        <c:crosses val="autoZero"/>
        <c:auto val="1"/>
        <c:lblAlgn val="ctr"/>
        <c:lblOffset val="100"/>
        <c:noMultiLvlLbl val="0"/>
      </c:catAx>
      <c:valAx>
        <c:axId val="586063944"/>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5860695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Employment</a:t>
            </a:r>
            <a:r>
              <a:rPr lang="en-GB" baseline="0"/>
              <a:t> Rate Trend 2004-2021</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'1.10-1.26 Economic Data'!$C$30</c:f>
              <c:strCache>
                <c:ptCount val="1"/>
                <c:pt idx="0">
                  <c:v>Moray</c:v>
                </c:pt>
              </c:strCache>
            </c:strRef>
          </c:tx>
          <c:spPr>
            <a:solidFill>
              <a:schemeClr val="accent1"/>
            </a:solidFill>
            <a:ln>
              <a:noFill/>
            </a:ln>
            <a:effectLst/>
          </c:spPr>
          <c:invertIfNegative val="0"/>
          <c:cat>
            <c:numRef>
              <c:f>'1.10-1.26 Economic Data'!$B$31:$B$48</c:f>
              <c:numCache>
                <c:formatCode>General</c:formatCode>
                <c:ptCount val="18"/>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numCache>
            </c:numRef>
          </c:cat>
          <c:val>
            <c:numRef>
              <c:f>'1.10-1.26 Economic Data'!$C$31:$C$48</c:f>
              <c:numCache>
                <c:formatCode>0.00%</c:formatCode>
                <c:ptCount val="18"/>
                <c:pt idx="0">
                  <c:v>0.75700000000000001</c:v>
                </c:pt>
                <c:pt idx="1">
                  <c:v>0.75</c:v>
                </c:pt>
                <c:pt idx="2">
                  <c:v>0.76700000000000002</c:v>
                </c:pt>
                <c:pt idx="3">
                  <c:v>0.78</c:v>
                </c:pt>
                <c:pt idx="4">
                  <c:v>0.79599999999999993</c:v>
                </c:pt>
                <c:pt idx="5">
                  <c:v>0.77800000000000002</c:v>
                </c:pt>
                <c:pt idx="6">
                  <c:v>0.79900000000000004</c:v>
                </c:pt>
                <c:pt idx="7">
                  <c:v>0.78500000000000003</c:v>
                </c:pt>
                <c:pt idx="8">
                  <c:v>0.77599999999999991</c:v>
                </c:pt>
                <c:pt idx="9">
                  <c:v>0.78799999999999992</c:v>
                </c:pt>
                <c:pt idx="10">
                  <c:v>0.77099999999999991</c:v>
                </c:pt>
                <c:pt idx="11">
                  <c:v>0.7340000000000001</c:v>
                </c:pt>
                <c:pt idx="12">
                  <c:v>0.755</c:v>
                </c:pt>
                <c:pt idx="13">
                  <c:v>0.745</c:v>
                </c:pt>
                <c:pt idx="14">
                  <c:v>0.72799999999999998</c:v>
                </c:pt>
                <c:pt idx="15">
                  <c:v>0.75</c:v>
                </c:pt>
                <c:pt idx="16">
                  <c:v>0.75099999999999989</c:v>
                </c:pt>
                <c:pt idx="17">
                  <c:v>0.72799999999999998</c:v>
                </c:pt>
              </c:numCache>
            </c:numRef>
          </c:val>
          <c:extLst>
            <c:ext xmlns:c16="http://schemas.microsoft.com/office/drawing/2014/chart" uri="{C3380CC4-5D6E-409C-BE32-E72D297353CC}">
              <c16:uniqueId val="{00000000-C085-47CE-86EA-46122DD967F1}"/>
            </c:ext>
          </c:extLst>
        </c:ser>
        <c:ser>
          <c:idx val="1"/>
          <c:order val="1"/>
          <c:tx>
            <c:strRef>
              <c:f>'1.10-1.26 Economic Data'!$D$30</c:f>
              <c:strCache>
                <c:ptCount val="1"/>
                <c:pt idx="0">
                  <c:v>Scotland</c:v>
                </c:pt>
              </c:strCache>
            </c:strRef>
          </c:tx>
          <c:spPr>
            <a:solidFill>
              <a:schemeClr val="accent2"/>
            </a:solidFill>
            <a:ln>
              <a:noFill/>
            </a:ln>
            <a:effectLst/>
          </c:spPr>
          <c:invertIfNegative val="0"/>
          <c:cat>
            <c:numRef>
              <c:f>'1.10-1.26 Economic Data'!$B$31:$B$48</c:f>
              <c:numCache>
                <c:formatCode>General</c:formatCode>
                <c:ptCount val="18"/>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numCache>
            </c:numRef>
          </c:cat>
          <c:val>
            <c:numRef>
              <c:f>'1.10-1.26 Economic Data'!$D$31:$D$48</c:f>
              <c:numCache>
                <c:formatCode>0.00%</c:formatCode>
                <c:ptCount val="18"/>
                <c:pt idx="0">
                  <c:v>0.72599999999999998</c:v>
                </c:pt>
                <c:pt idx="1">
                  <c:v>0.73</c:v>
                </c:pt>
                <c:pt idx="2">
                  <c:v>0.73699999999999999</c:v>
                </c:pt>
                <c:pt idx="3">
                  <c:v>0.7390000000000001</c:v>
                </c:pt>
                <c:pt idx="4">
                  <c:v>0.73599999999999999</c:v>
                </c:pt>
                <c:pt idx="5">
                  <c:v>0.72</c:v>
                </c:pt>
                <c:pt idx="6">
                  <c:v>0.71</c:v>
                </c:pt>
                <c:pt idx="7">
                  <c:v>0.70499999999999996</c:v>
                </c:pt>
                <c:pt idx="8">
                  <c:v>0.70499999999999996</c:v>
                </c:pt>
                <c:pt idx="9">
                  <c:v>0.70799999999999996</c:v>
                </c:pt>
                <c:pt idx="10">
                  <c:v>0.72599999999999998</c:v>
                </c:pt>
                <c:pt idx="11">
                  <c:v>0.73099999999999998</c:v>
                </c:pt>
                <c:pt idx="12">
                  <c:v>0.73</c:v>
                </c:pt>
                <c:pt idx="13">
                  <c:v>0.74199999999999999</c:v>
                </c:pt>
                <c:pt idx="14">
                  <c:v>0.74099999999999999</c:v>
                </c:pt>
                <c:pt idx="15">
                  <c:v>0.748</c:v>
                </c:pt>
                <c:pt idx="16">
                  <c:v>0.7340000000000001</c:v>
                </c:pt>
                <c:pt idx="17">
                  <c:v>0.73199999999999998</c:v>
                </c:pt>
              </c:numCache>
            </c:numRef>
          </c:val>
          <c:extLst>
            <c:ext xmlns:c16="http://schemas.microsoft.com/office/drawing/2014/chart" uri="{C3380CC4-5D6E-409C-BE32-E72D297353CC}">
              <c16:uniqueId val="{00000001-C085-47CE-86EA-46122DD967F1}"/>
            </c:ext>
          </c:extLst>
        </c:ser>
        <c:dLbls>
          <c:showLegendKey val="0"/>
          <c:showVal val="0"/>
          <c:showCatName val="0"/>
          <c:showSerName val="0"/>
          <c:showPercent val="0"/>
          <c:showBubbleSize val="0"/>
        </c:dLbls>
        <c:gapWidth val="219"/>
        <c:overlap val="-27"/>
        <c:axId val="1163728824"/>
        <c:axId val="1163729480"/>
      </c:barChart>
      <c:catAx>
        <c:axId val="1163728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3729480"/>
        <c:crosses val="autoZero"/>
        <c:auto val="1"/>
        <c:lblAlgn val="ctr"/>
        <c:lblOffset val="100"/>
        <c:noMultiLvlLbl val="0"/>
      </c:catAx>
      <c:valAx>
        <c:axId val="116372948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37288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 Change</a:t>
            </a:r>
            <a:r>
              <a:rPr lang="en-GB" baseline="0"/>
              <a:t> in Employment Level 2004 - 2021</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'1.10-1.26 Economic Data'!$E$6</c:f>
              <c:strCache>
                <c:ptCount val="1"/>
                <c:pt idx="0">
                  <c:v>% Change Moray</c:v>
                </c:pt>
              </c:strCache>
            </c:strRef>
          </c:tx>
          <c:spPr>
            <a:ln w="28575" cap="rnd">
              <a:solidFill>
                <a:schemeClr val="accent1"/>
              </a:solidFill>
              <a:round/>
            </a:ln>
            <a:effectLst/>
          </c:spPr>
          <c:marker>
            <c:symbol val="none"/>
          </c:marker>
          <c:cat>
            <c:numRef>
              <c:f>'1.10-1.26 Economic Data'!$B$8:$B$24</c:f>
              <c:numCache>
                <c:formatCode>General</c:formatCode>
                <c:ptCount val="17"/>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numCache>
            </c:numRef>
          </c:cat>
          <c:val>
            <c:numRef>
              <c:f>'1.10-1.26 Economic Data'!$E$8:$E$24</c:f>
              <c:numCache>
                <c:formatCode>0.00%</c:formatCode>
                <c:ptCount val="17"/>
                <c:pt idx="0">
                  <c:v>2.3094688221709007E-3</c:v>
                </c:pt>
                <c:pt idx="1">
                  <c:v>4.6082949308755762E-2</c:v>
                </c:pt>
                <c:pt idx="2">
                  <c:v>1.5418502202643172E-2</c:v>
                </c:pt>
                <c:pt idx="3">
                  <c:v>4.7722342733188719E-2</c:v>
                </c:pt>
                <c:pt idx="4">
                  <c:v>-2.8985507246376812E-2</c:v>
                </c:pt>
                <c:pt idx="5">
                  <c:v>2.5586353944562899E-2</c:v>
                </c:pt>
                <c:pt idx="6">
                  <c:v>-2.9106029106029108E-2</c:v>
                </c:pt>
                <c:pt idx="7">
                  <c:v>-3.2119914346895075E-2</c:v>
                </c:pt>
                <c:pt idx="8">
                  <c:v>4.2035398230088498E-2</c:v>
                </c:pt>
                <c:pt idx="9">
                  <c:v>-1.9108280254777069E-2</c:v>
                </c:pt>
                <c:pt idx="10">
                  <c:v>-3.2467532467532464E-2</c:v>
                </c:pt>
                <c:pt idx="11">
                  <c:v>3.1319910514541388E-2</c:v>
                </c:pt>
                <c:pt idx="12">
                  <c:v>-1.0845986984815618E-2</c:v>
                </c:pt>
                <c:pt idx="13">
                  <c:v>-1.7543859649122806E-2</c:v>
                </c:pt>
                <c:pt idx="14">
                  <c:v>3.7946428571428568E-2</c:v>
                </c:pt>
                <c:pt idx="15">
                  <c:v>2.1505376344086021E-3</c:v>
                </c:pt>
                <c:pt idx="16">
                  <c:v>-2.7896995708154508E-2</c:v>
                </c:pt>
              </c:numCache>
            </c:numRef>
          </c:val>
          <c:smooth val="0"/>
          <c:extLst>
            <c:ext xmlns:c16="http://schemas.microsoft.com/office/drawing/2014/chart" uri="{C3380CC4-5D6E-409C-BE32-E72D297353CC}">
              <c16:uniqueId val="{00000000-7D33-4E84-ACF3-D60C2E5D0807}"/>
            </c:ext>
          </c:extLst>
        </c:ser>
        <c:ser>
          <c:idx val="1"/>
          <c:order val="1"/>
          <c:tx>
            <c:strRef>
              <c:f>'1.10-1.26 Economic Data'!$F$6</c:f>
              <c:strCache>
                <c:ptCount val="1"/>
                <c:pt idx="0">
                  <c:v>% Change Scotland</c:v>
                </c:pt>
              </c:strCache>
            </c:strRef>
          </c:tx>
          <c:spPr>
            <a:ln w="28575" cap="rnd">
              <a:solidFill>
                <a:schemeClr val="accent2"/>
              </a:solidFill>
              <a:round/>
            </a:ln>
            <a:effectLst/>
          </c:spPr>
          <c:marker>
            <c:symbol val="none"/>
          </c:marker>
          <c:cat>
            <c:numRef>
              <c:f>'1.10-1.26 Economic Data'!$B$8:$B$24</c:f>
              <c:numCache>
                <c:formatCode>General</c:formatCode>
                <c:ptCount val="17"/>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numCache>
            </c:numRef>
          </c:cat>
          <c:val>
            <c:numRef>
              <c:f>'1.10-1.26 Economic Data'!$F$8:$F$24</c:f>
              <c:numCache>
                <c:formatCode>0.00%</c:formatCode>
                <c:ptCount val="17"/>
                <c:pt idx="0">
                  <c:v>1.0123456790123457E-2</c:v>
                </c:pt>
                <c:pt idx="1">
                  <c:v>1.8577364947445614E-2</c:v>
                </c:pt>
                <c:pt idx="2">
                  <c:v>1.1279097672186225E-2</c:v>
                </c:pt>
                <c:pt idx="3">
                  <c:v>2.4521436481569374E-3</c:v>
                </c:pt>
                <c:pt idx="4">
                  <c:v>-1.4558510218574922E-2</c:v>
                </c:pt>
                <c:pt idx="5">
                  <c:v>-7.2066300996917161E-3</c:v>
                </c:pt>
                <c:pt idx="6">
                  <c:v>-1.371133604871557E-3</c:v>
                </c:pt>
                <c:pt idx="7">
                  <c:v>2.2210556071558373E-3</c:v>
                </c:pt>
                <c:pt idx="8">
                  <c:v>5.3590136191473932E-3</c:v>
                </c:pt>
                <c:pt idx="9">
                  <c:v>2.5530038876197345E-2</c:v>
                </c:pt>
                <c:pt idx="10">
                  <c:v>9.418477411286541E-3</c:v>
                </c:pt>
                <c:pt idx="11">
                  <c:v>5.1492508420767358E-3</c:v>
                </c:pt>
                <c:pt idx="12">
                  <c:v>1.6447115014251598E-2</c:v>
                </c:pt>
                <c:pt idx="13">
                  <c:v>-1.8947288642995187E-4</c:v>
                </c:pt>
                <c:pt idx="14">
                  <c:v>9.6649484536082478E-3</c:v>
                </c:pt>
                <c:pt idx="15">
                  <c:v>-1.8957168061864184E-2</c:v>
                </c:pt>
                <c:pt idx="16">
                  <c:v>-4.4386622790234939E-3</c:v>
                </c:pt>
              </c:numCache>
            </c:numRef>
          </c:val>
          <c:smooth val="0"/>
          <c:extLst>
            <c:ext xmlns:c16="http://schemas.microsoft.com/office/drawing/2014/chart" uri="{C3380CC4-5D6E-409C-BE32-E72D297353CC}">
              <c16:uniqueId val="{00000001-7D33-4E84-ACF3-D60C2E5D0807}"/>
            </c:ext>
          </c:extLst>
        </c:ser>
        <c:dLbls>
          <c:showLegendKey val="0"/>
          <c:showVal val="0"/>
          <c:showCatName val="0"/>
          <c:showSerName val="0"/>
          <c:showPercent val="0"/>
          <c:showBubbleSize val="0"/>
        </c:dLbls>
        <c:smooth val="0"/>
        <c:axId val="1163736040"/>
        <c:axId val="1163733088"/>
      </c:lineChart>
      <c:catAx>
        <c:axId val="116373604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3733088"/>
        <c:crosses val="autoZero"/>
        <c:auto val="1"/>
        <c:lblAlgn val="ctr"/>
        <c:lblOffset val="100"/>
        <c:noMultiLvlLbl val="0"/>
      </c:catAx>
      <c:valAx>
        <c:axId val="116373308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37360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Percentage Change in Deaths 1996-2021</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'1.1 Population Projections'!$K$53</c:f>
              <c:strCache>
                <c:ptCount val="1"/>
                <c:pt idx="0">
                  <c:v>% Change Moray</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'1.1 Population Projections'!$H$55:$H$79</c:f>
              <c:numCache>
                <c:formatCode>General</c:formatCode>
                <c:ptCount val="25"/>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pt idx="19">
                  <c:v>2016</c:v>
                </c:pt>
                <c:pt idx="20">
                  <c:v>2017</c:v>
                </c:pt>
                <c:pt idx="21">
                  <c:v>2018</c:v>
                </c:pt>
                <c:pt idx="22">
                  <c:v>2019</c:v>
                </c:pt>
                <c:pt idx="23">
                  <c:v>2020</c:v>
                </c:pt>
                <c:pt idx="24">
                  <c:v>2021</c:v>
                </c:pt>
              </c:numCache>
            </c:numRef>
          </c:xVal>
          <c:yVal>
            <c:numRef>
              <c:f>'1.1 Population Projections'!$K$55:$K$79</c:f>
              <c:numCache>
                <c:formatCode>0.00%</c:formatCode>
                <c:ptCount val="25"/>
                <c:pt idx="0">
                  <c:v>-2.8697571743929361E-2</c:v>
                </c:pt>
                <c:pt idx="1">
                  <c:v>3.4090909090909088E-2</c:v>
                </c:pt>
                <c:pt idx="2">
                  <c:v>6.4835164835164841E-2</c:v>
                </c:pt>
                <c:pt idx="3">
                  <c:v>-1.3415892672858616E-2</c:v>
                </c:pt>
                <c:pt idx="4">
                  <c:v>-2.0920502092050208E-2</c:v>
                </c:pt>
                <c:pt idx="5">
                  <c:v>3.7393162393162392E-2</c:v>
                </c:pt>
                <c:pt idx="6">
                  <c:v>-1.5447991761071062E-2</c:v>
                </c:pt>
                <c:pt idx="7">
                  <c:v>-4.1841004184100417E-2</c:v>
                </c:pt>
                <c:pt idx="8">
                  <c:v>2.9475982532751091E-2</c:v>
                </c:pt>
                <c:pt idx="9">
                  <c:v>2.3329798515376459E-2</c:v>
                </c:pt>
                <c:pt idx="10">
                  <c:v>-1.8652849740932641E-2</c:v>
                </c:pt>
                <c:pt idx="11">
                  <c:v>-2.3231256599788808E-2</c:v>
                </c:pt>
                <c:pt idx="12">
                  <c:v>-3.027027027027027E-2</c:v>
                </c:pt>
                <c:pt idx="13">
                  <c:v>3.901895206243032E-2</c:v>
                </c:pt>
                <c:pt idx="14">
                  <c:v>5.4721030042918457E-2</c:v>
                </c:pt>
                <c:pt idx="15">
                  <c:v>1.2207527975584944E-2</c:v>
                </c:pt>
                <c:pt idx="16">
                  <c:v>-5.6281407035175882E-2</c:v>
                </c:pt>
                <c:pt idx="17">
                  <c:v>8.5197018104366355E-3</c:v>
                </c:pt>
                <c:pt idx="18">
                  <c:v>0.11298838437170011</c:v>
                </c:pt>
                <c:pt idx="19">
                  <c:v>-7.1157495256166978E-2</c:v>
                </c:pt>
                <c:pt idx="20">
                  <c:v>3.0643513789581207E-2</c:v>
                </c:pt>
                <c:pt idx="21">
                  <c:v>6.8384539147670967E-2</c:v>
                </c:pt>
                <c:pt idx="22">
                  <c:v>-3.1539888682745827E-2</c:v>
                </c:pt>
                <c:pt idx="23">
                  <c:v>-1.4367816091954023E-2</c:v>
                </c:pt>
                <c:pt idx="24">
                  <c:v>0.1379980563654033</c:v>
                </c:pt>
              </c:numCache>
            </c:numRef>
          </c:yVal>
          <c:smooth val="0"/>
          <c:extLst>
            <c:ext xmlns:c16="http://schemas.microsoft.com/office/drawing/2014/chart" uri="{C3380CC4-5D6E-409C-BE32-E72D297353CC}">
              <c16:uniqueId val="{00000000-65EC-47BB-8D44-58269BF598B6}"/>
            </c:ext>
          </c:extLst>
        </c:ser>
        <c:ser>
          <c:idx val="1"/>
          <c:order val="1"/>
          <c:tx>
            <c:strRef>
              <c:f>'1.1 Population Projections'!$L$53</c:f>
              <c:strCache>
                <c:ptCount val="1"/>
                <c:pt idx="0">
                  <c:v>% Change Scotland</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'1.1 Population Projections'!$H$55:$H$79</c:f>
              <c:numCache>
                <c:formatCode>General</c:formatCode>
                <c:ptCount val="25"/>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pt idx="19">
                  <c:v>2016</c:v>
                </c:pt>
                <c:pt idx="20">
                  <c:v>2017</c:v>
                </c:pt>
                <c:pt idx="21">
                  <c:v>2018</c:v>
                </c:pt>
                <c:pt idx="22">
                  <c:v>2019</c:v>
                </c:pt>
                <c:pt idx="23">
                  <c:v>2020</c:v>
                </c:pt>
                <c:pt idx="24">
                  <c:v>2021</c:v>
                </c:pt>
              </c:numCache>
            </c:numRef>
          </c:xVal>
          <c:yVal>
            <c:numRef>
              <c:f>'1.1 Population Projections'!$L$55:$L$79</c:f>
              <c:numCache>
                <c:formatCode>0.00%</c:formatCode>
                <c:ptCount val="25"/>
                <c:pt idx="0">
                  <c:v>-1.9124872226069178E-2</c:v>
                </c:pt>
                <c:pt idx="1">
                  <c:v>-5.546777826335429E-3</c:v>
                </c:pt>
                <c:pt idx="2">
                  <c:v>1.8879724156581706E-2</c:v>
                </c:pt>
                <c:pt idx="3">
                  <c:v>-4.1173835868681674E-2</c:v>
                </c:pt>
                <c:pt idx="4">
                  <c:v>-7.2146576930396718E-3</c:v>
                </c:pt>
                <c:pt idx="5">
                  <c:v>1.2564915827262905E-2</c:v>
                </c:pt>
                <c:pt idx="6">
                  <c:v>6.3507908369619471E-3</c:v>
                </c:pt>
                <c:pt idx="7">
                  <c:v>-3.9078533315090987E-2</c:v>
                </c:pt>
                <c:pt idx="8">
                  <c:v>-7.830992934308648E-3</c:v>
                </c:pt>
                <c:pt idx="9">
                  <c:v>-1.1731572999443916E-2</c:v>
                </c:pt>
                <c:pt idx="10">
                  <c:v>1.6208955765705264E-2</c:v>
                </c:pt>
                <c:pt idx="11">
                  <c:v>-5.1084199621333906E-3</c:v>
                </c:pt>
                <c:pt idx="12">
                  <c:v>-3.3105924596050267E-2</c:v>
                </c:pt>
                <c:pt idx="13">
                  <c:v>2.0610516934046344E-3</c:v>
                </c:pt>
                <c:pt idx="14">
                  <c:v>-5.6701317471788311E-3</c:v>
                </c:pt>
                <c:pt idx="15">
                  <c:v>2.3778908331935671E-2</c:v>
                </c:pt>
                <c:pt idx="16">
                  <c:v>-4.3140324371552866E-3</c:v>
                </c:pt>
                <c:pt idx="17">
                  <c:v>-8.4277879341864721E-3</c:v>
                </c:pt>
                <c:pt idx="18">
                  <c:v>6.1579306403141652E-2</c:v>
                </c:pt>
                <c:pt idx="19">
                  <c:v>-1.4779693985654492E-2</c:v>
                </c:pt>
                <c:pt idx="20">
                  <c:v>2.0360315893385984E-2</c:v>
                </c:pt>
                <c:pt idx="21">
                  <c:v>1.0711262374099476E-2</c:v>
                </c:pt>
                <c:pt idx="22">
                  <c:v>-6.7517905064697539E-3</c:v>
                </c:pt>
                <c:pt idx="23">
                  <c:v>0.10299786604254148</c:v>
                </c:pt>
                <c:pt idx="24">
                  <c:v>-7.8947779008628084E-3</c:v>
                </c:pt>
              </c:numCache>
            </c:numRef>
          </c:yVal>
          <c:smooth val="0"/>
          <c:extLst>
            <c:ext xmlns:c16="http://schemas.microsoft.com/office/drawing/2014/chart" uri="{C3380CC4-5D6E-409C-BE32-E72D297353CC}">
              <c16:uniqueId val="{00000001-65EC-47BB-8D44-58269BF598B6}"/>
            </c:ext>
          </c:extLst>
        </c:ser>
        <c:dLbls>
          <c:showLegendKey val="0"/>
          <c:showVal val="0"/>
          <c:showCatName val="0"/>
          <c:showSerName val="0"/>
          <c:showPercent val="0"/>
          <c:showBubbleSize val="0"/>
        </c:dLbls>
        <c:axId val="977666680"/>
        <c:axId val="977659464"/>
      </c:scatterChart>
      <c:valAx>
        <c:axId val="977666680"/>
        <c:scaling>
          <c:orientation val="minMax"/>
          <c:max val="2021"/>
          <c:min val="1997"/>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7659464"/>
        <c:crosses val="autoZero"/>
        <c:crossBetween val="midCat"/>
      </c:valAx>
      <c:valAx>
        <c:axId val="977659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766668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 Change</a:t>
            </a:r>
            <a:r>
              <a:rPr lang="en-GB" baseline="0"/>
              <a:t> in Model Based Unemployment 2004 - 2021</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'1.10-1.26 Economic Data'!$E$53</c:f>
              <c:strCache>
                <c:ptCount val="1"/>
                <c:pt idx="0">
                  <c:v>% Change Moray</c:v>
                </c:pt>
              </c:strCache>
            </c:strRef>
          </c:tx>
          <c:spPr>
            <a:ln w="28575" cap="rnd">
              <a:solidFill>
                <a:schemeClr val="accent1"/>
              </a:solidFill>
              <a:round/>
            </a:ln>
            <a:effectLst/>
          </c:spPr>
          <c:marker>
            <c:symbol val="none"/>
          </c:marker>
          <c:cat>
            <c:numRef>
              <c:f>'1.10-1.26 Economic Data'!$B$55:$B$71</c:f>
              <c:numCache>
                <c:formatCode>General</c:formatCode>
                <c:ptCount val="17"/>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numCache>
            </c:numRef>
          </c:cat>
          <c:val>
            <c:numRef>
              <c:f>'1.10-1.26 Economic Data'!$E$55:$E$71</c:f>
              <c:numCache>
                <c:formatCode>0.00%</c:formatCode>
                <c:ptCount val="17"/>
                <c:pt idx="0">
                  <c:v>5.8823529411764705E-2</c:v>
                </c:pt>
                <c:pt idx="1">
                  <c:v>5.5555555555555552E-2</c:v>
                </c:pt>
                <c:pt idx="2">
                  <c:v>-0.15789473684210525</c:v>
                </c:pt>
                <c:pt idx="3">
                  <c:v>0.1875</c:v>
                </c:pt>
                <c:pt idx="4">
                  <c:v>0.15789473684210525</c:v>
                </c:pt>
                <c:pt idx="5">
                  <c:v>4.5454545454545456E-2</c:v>
                </c:pt>
                <c:pt idx="6">
                  <c:v>0.13043478260869565</c:v>
                </c:pt>
                <c:pt idx="7">
                  <c:v>-0.11538461538461539</c:v>
                </c:pt>
                <c:pt idx="8">
                  <c:v>4.3478260869565216E-2</c:v>
                </c:pt>
                <c:pt idx="9">
                  <c:v>-8.3333333333333329E-2</c:v>
                </c:pt>
                <c:pt idx="10">
                  <c:v>-0.13636363636363635</c:v>
                </c:pt>
                <c:pt idx="11">
                  <c:v>5.2631578947368418E-2</c:v>
                </c:pt>
                <c:pt idx="12">
                  <c:v>-0.1</c:v>
                </c:pt>
                <c:pt idx="13">
                  <c:v>-5.5555555555555552E-2</c:v>
                </c:pt>
                <c:pt idx="14">
                  <c:v>-5.8823529411764705E-2</c:v>
                </c:pt>
                <c:pt idx="15">
                  <c:v>0.125</c:v>
                </c:pt>
                <c:pt idx="16">
                  <c:v>-5.5555555555555552E-2</c:v>
                </c:pt>
              </c:numCache>
            </c:numRef>
          </c:val>
          <c:smooth val="0"/>
          <c:extLst>
            <c:ext xmlns:c16="http://schemas.microsoft.com/office/drawing/2014/chart" uri="{C3380CC4-5D6E-409C-BE32-E72D297353CC}">
              <c16:uniqueId val="{00000000-854C-4A65-BE1E-BCDDAD89E852}"/>
            </c:ext>
          </c:extLst>
        </c:ser>
        <c:ser>
          <c:idx val="1"/>
          <c:order val="1"/>
          <c:tx>
            <c:strRef>
              <c:f>'1.10-1.26 Economic Data'!$F$53</c:f>
              <c:strCache>
                <c:ptCount val="1"/>
                <c:pt idx="0">
                  <c:v>% Change Scotland</c:v>
                </c:pt>
              </c:strCache>
            </c:strRef>
          </c:tx>
          <c:spPr>
            <a:ln w="28575" cap="rnd">
              <a:solidFill>
                <a:schemeClr val="accent2"/>
              </a:solidFill>
              <a:round/>
            </a:ln>
            <a:effectLst/>
          </c:spPr>
          <c:marker>
            <c:symbol val="none"/>
          </c:marker>
          <c:cat>
            <c:numRef>
              <c:f>'1.10-1.26 Economic Data'!$B$55:$B$71</c:f>
              <c:numCache>
                <c:formatCode>General</c:formatCode>
                <c:ptCount val="17"/>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numCache>
            </c:numRef>
          </c:cat>
          <c:val>
            <c:numRef>
              <c:f>'1.10-1.26 Economic Data'!$F$55:$F$71</c:f>
              <c:numCache>
                <c:formatCode>0.00%</c:formatCode>
                <c:ptCount val="17"/>
                <c:pt idx="0">
                  <c:v>2.9175784099197666E-3</c:v>
                </c:pt>
                <c:pt idx="1">
                  <c:v>-6.5454545454545453E-3</c:v>
                </c:pt>
                <c:pt idx="2">
                  <c:v>-8.7847730600292828E-2</c:v>
                </c:pt>
                <c:pt idx="3">
                  <c:v>4.4141252006420544E-2</c:v>
                </c:pt>
                <c:pt idx="4">
                  <c:v>0.42736356648731744</c:v>
                </c:pt>
                <c:pt idx="5">
                  <c:v>0.10662358642972536</c:v>
                </c:pt>
                <c:pt idx="6">
                  <c:v>7.6885644768856454E-2</c:v>
                </c:pt>
                <c:pt idx="7">
                  <c:v>-2.8920018075011298E-2</c:v>
                </c:pt>
                <c:pt idx="8">
                  <c:v>-2.652396463471382E-2</c:v>
                </c:pt>
                <c:pt idx="9">
                  <c:v>-0.18833652007648183</c:v>
                </c:pt>
                <c:pt idx="10">
                  <c:v>-6.1837455830388695E-2</c:v>
                </c:pt>
                <c:pt idx="11">
                  <c:v>-0.18141870684243566</c:v>
                </c:pt>
                <c:pt idx="12">
                  <c:v>-0.14187116564417179</c:v>
                </c:pt>
                <c:pt idx="13">
                  <c:v>4.736371760500447E-2</c:v>
                </c:pt>
                <c:pt idx="14">
                  <c:v>-0.1825938566552901</c:v>
                </c:pt>
                <c:pt idx="15">
                  <c:v>0.23068893528183715</c:v>
                </c:pt>
                <c:pt idx="16">
                  <c:v>-0.10347752332485156</c:v>
                </c:pt>
              </c:numCache>
            </c:numRef>
          </c:val>
          <c:smooth val="0"/>
          <c:extLst>
            <c:ext xmlns:c16="http://schemas.microsoft.com/office/drawing/2014/chart" uri="{C3380CC4-5D6E-409C-BE32-E72D297353CC}">
              <c16:uniqueId val="{00000001-854C-4A65-BE1E-BCDDAD89E852}"/>
            </c:ext>
          </c:extLst>
        </c:ser>
        <c:dLbls>
          <c:showLegendKey val="0"/>
          <c:showVal val="0"/>
          <c:showCatName val="0"/>
          <c:showSerName val="0"/>
          <c:showPercent val="0"/>
          <c:showBubbleSize val="0"/>
        </c:dLbls>
        <c:smooth val="0"/>
        <c:axId val="1188683936"/>
        <c:axId val="1188688528"/>
      </c:lineChart>
      <c:catAx>
        <c:axId val="118868393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88688528"/>
        <c:crosses val="autoZero"/>
        <c:auto val="1"/>
        <c:lblAlgn val="ctr"/>
        <c:lblOffset val="100"/>
        <c:noMultiLvlLbl val="0"/>
      </c:catAx>
      <c:valAx>
        <c:axId val="11886885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88683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Model Based Unemployment Rate 2004 - 2021</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'1.10-1.26 Economic Data'!$C$76</c:f>
              <c:strCache>
                <c:ptCount val="1"/>
                <c:pt idx="0">
                  <c:v>Moray</c:v>
                </c:pt>
              </c:strCache>
            </c:strRef>
          </c:tx>
          <c:spPr>
            <a:solidFill>
              <a:schemeClr val="accent1"/>
            </a:solidFill>
            <a:ln>
              <a:noFill/>
            </a:ln>
            <a:effectLst/>
          </c:spPr>
          <c:invertIfNegative val="0"/>
          <c:cat>
            <c:numRef>
              <c:f>'1.10-1.26 Economic Data'!$B$77:$B$94</c:f>
              <c:numCache>
                <c:formatCode>General</c:formatCode>
                <c:ptCount val="18"/>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numCache>
            </c:numRef>
          </c:cat>
          <c:val>
            <c:numRef>
              <c:f>'1.10-1.26 Economic Data'!$C$77:$C$94</c:f>
              <c:numCache>
                <c:formatCode>0.00%</c:formatCode>
                <c:ptCount val="18"/>
                <c:pt idx="0">
                  <c:v>3.7999999999999999E-2</c:v>
                </c:pt>
                <c:pt idx="1">
                  <c:v>0.04</c:v>
                </c:pt>
                <c:pt idx="2">
                  <c:v>0.04</c:v>
                </c:pt>
                <c:pt idx="3">
                  <c:v>3.4000000000000002E-2</c:v>
                </c:pt>
                <c:pt idx="4">
                  <c:v>3.7000000000000005E-2</c:v>
                </c:pt>
                <c:pt idx="5">
                  <c:v>4.4000000000000004E-2</c:v>
                </c:pt>
                <c:pt idx="6">
                  <c:v>4.5999999999999999E-2</c:v>
                </c:pt>
                <c:pt idx="7">
                  <c:v>5.2999999999999999E-2</c:v>
                </c:pt>
                <c:pt idx="8">
                  <c:v>4.8000000000000001E-2</c:v>
                </c:pt>
                <c:pt idx="9">
                  <c:v>4.8000000000000001E-2</c:v>
                </c:pt>
                <c:pt idx="10">
                  <c:v>4.4999999999999998E-2</c:v>
                </c:pt>
                <c:pt idx="11">
                  <c:v>0.04</c:v>
                </c:pt>
                <c:pt idx="12">
                  <c:v>4.0999999999999995E-2</c:v>
                </c:pt>
                <c:pt idx="13">
                  <c:v>3.7999999999999999E-2</c:v>
                </c:pt>
                <c:pt idx="14">
                  <c:v>3.7000000000000005E-2</c:v>
                </c:pt>
                <c:pt idx="15">
                  <c:v>3.2000000000000001E-2</c:v>
                </c:pt>
                <c:pt idx="16">
                  <c:v>3.7000000000000005E-2</c:v>
                </c:pt>
                <c:pt idx="17">
                  <c:v>3.6000000000000004E-2</c:v>
                </c:pt>
              </c:numCache>
            </c:numRef>
          </c:val>
          <c:extLst>
            <c:ext xmlns:c16="http://schemas.microsoft.com/office/drawing/2014/chart" uri="{C3380CC4-5D6E-409C-BE32-E72D297353CC}">
              <c16:uniqueId val="{00000000-6152-4386-BAD1-81DA08938CC2}"/>
            </c:ext>
          </c:extLst>
        </c:ser>
        <c:ser>
          <c:idx val="1"/>
          <c:order val="1"/>
          <c:tx>
            <c:strRef>
              <c:f>'1.10-1.26 Economic Data'!$D$76</c:f>
              <c:strCache>
                <c:ptCount val="1"/>
                <c:pt idx="0">
                  <c:v>Scotland</c:v>
                </c:pt>
              </c:strCache>
            </c:strRef>
          </c:tx>
          <c:spPr>
            <a:solidFill>
              <a:schemeClr val="accent2"/>
            </a:solidFill>
            <a:ln>
              <a:noFill/>
            </a:ln>
            <a:effectLst/>
          </c:spPr>
          <c:invertIfNegative val="0"/>
          <c:cat>
            <c:numRef>
              <c:f>'1.10-1.26 Economic Data'!$B$77:$B$94</c:f>
              <c:numCache>
                <c:formatCode>General</c:formatCode>
                <c:ptCount val="18"/>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numCache>
            </c:numRef>
          </c:cat>
          <c:val>
            <c:numRef>
              <c:f>'1.10-1.26 Economic Data'!$D$77:$D$94</c:f>
              <c:numCache>
                <c:formatCode>0.00%</c:formatCode>
                <c:ptCount val="18"/>
                <c:pt idx="0">
                  <c:v>5.2999999999999999E-2</c:v>
                </c:pt>
                <c:pt idx="1">
                  <c:v>5.2999999999999999E-2</c:v>
                </c:pt>
                <c:pt idx="2">
                  <c:v>5.2000000000000005E-2</c:v>
                </c:pt>
                <c:pt idx="3">
                  <c:v>4.7E-2</c:v>
                </c:pt>
                <c:pt idx="4">
                  <c:v>4.9000000000000002E-2</c:v>
                </c:pt>
                <c:pt idx="5">
                  <c:v>6.9000000000000006E-2</c:v>
                </c:pt>
                <c:pt idx="6">
                  <c:v>7.6999999999999999E-2</c:v>
                </c:pt>
                <c:pt idx="7">
                  <c:v>8.199999999999999E-2</c:v>
                </c:pt>
                <c:pt idx="8">
                  <c:v>0.08</c:v>
                </c:pt>
                <c:pt idx="9">
                  <c:v>7.6999999999999999E-2</c:v>
                </c:pt>
                <c:pt idx="10">
                  <c:v>6.2E-2</c:v>
                </c:pt>
                <c:pt idx="11">
                  <c:v>5.7999999999999996E-2</c:v>
                </c:pt>
                <c:pt idx="12">
                  <c:v>4.8000000000000001E-2</c:v>
                </c:pt>
                <c:pt idx="13">
                  <c:v>4.0999999999999995E-2</c:v>
                </c:pt>
                <c:pt idx="14">
                  <c:v>4.2999999999999997E-2</c:v>
                </c:pt>
                <c:pt idx="15">
                  <c:v>3.5000000000000003E-2</c:v>
                </c:pt>
                <c:pt idx="16">
                  <c:v>4.2999999999999997E-2</c:v>
                </c:pt>
                <c:pt idx="17">
                  <c:v>3.9E-2</c:v>
                </c:pt>
              </c:numCache>
            </c:numRef>
          </c:val>
          <c:extLst>
            <c:ext xmlns:c16="http://schemas.microsoft.com/office/drawing/2014/chart" uri="{C3380CC4-5D6E-409C-BE32-E72D297353CC}">
              <c16:uniqueId val="{00000001-6152-4386-BAD1-81DA08938CC2}"/>
            </c:ext>
          </c:extLst>
        </c:ser>
        <c:dLbls>
          <c:showLegendKey val="0"/>
          <c:showVal val="0"/>
          <c:showCatName val="0"/>
          <c:showSerName val="0"/>
          <c:showPercent val="0"/>
          <c:showBubbleSize val="0"/>
        </c:dLbls>
        <c:gapWidth val="219"/>
        <c:overlap val="-27"/>
        <c:axId val="1188201104"/>
        <c:axId val="1188205368"/>
      </c:barChart>
      <c:catAx>
        <c:axId val="1188201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88205368"/>
        <c:crosses val="autoZero"/>
        <c:auto val="1"/>
        <c:lblAlgn val="ctr"/>
        <c:lblOffset val="100"/>
        <c:noMultiLvlLbl val="0"/>
      </c:catAx>
      <c:valAx>
        <c:axId val="118820536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882011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 Change in Economic Activity Levels</a:t>
            </a:r>
            <a:r>
              <a:rPr lang="en-GB" baseline="0"/>
              <a:t> 2004 - 2021</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'1.10-1.26 Economic Data'!$E$99</c:f>
              <c:strCache>
                <c:ptCount val="1"/>
                <c:pt idx="0">
                  <c:v>% Change Moray</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'1.10-1.26 Economic Data'!$B$101:$B$117</c:f>
              <c:numCache>
                <c:formatCode>General</c:formatCode>
                <c:ptCount val="17"/>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numCache>
            </c:numRef>
          </c:xVal>
          <c:yVal>
            <c:numRef>
              <c:f>'1.10-1.26 Economic Data'!$E$101:$E$117</c:f>
              <c:numCache>
                <c:formatCode>0.00%</c:formatCode>
                <c:ptCount val="17"/>
                <c:pt idx="0">
                  <c:v>2.4793388429752067E-2</c:v>
                </c:pt>
                <c:pt idx="1">
                  <c:v>-5.6451612903225805E-2</c:v>
                </c:pt>
                <c:pt idx="2">
                  <c:v>-1.7094017094017096E-2</c:v>
                </c:pt>
                <c:pt idx="3">
                  <c:v>-0.11304347826086956</c:v>
                </c:pt>
                <c:pt idx="4">
                  <c:v>2.9411764705882353E-2</c:v>
                </c:pt>
                <c:pt idx="5">
                  <c:v>-1.9047619047619049E-2</c:v>
                </c:pt>
                <c:pt idx="6">
                  <c:v>1.9417475728155338E-2</c:v>
                </c:pt>
                <c:pt idx="7">
                  <c:v>9.5238095238095247E-3</c:v>
                </c:pt>
                <c:pt idx="8">
                  <c:v>-7.5471698113207544E-2</c:v>
                </c:pt>
                <c:pt idx="9">
                  <c:v>0.10204081632653061</c:v>
                </c:pt>
                <c:pt idx="10">
                  <c:v>0.26851851851851855</c:v>
                </c:pt>
                <c:pt idx="11">
                  <c:v>-0.11678832116788321</c:v>
                </c:pt>
                <c:pt idx="12">
                  <c:v>1.6528925619834711E-2</c:v>
                </c:pt>
                <c:pt idx="13">
                  <c:v>9.7560975609756101E-2</c:v>
                </c:pt>
                <c:pt idx="14">
                  <c:v>-2.9629629629629631E-2</c:v>
                </c:pt>
                <c:pt idx="15">
                  <c:v>0</c:v>
                </c:pt>
                <c:pt idx="16">
                  <c:v>0.12977099236641221</c:v>
                </c:pt>
              </c:numCache>
            </c:numRef>
          </c:yVal>
          <c:smooth val="0"/>
          <c:extLst>
            <c:ext xmlns:c16="http://schemas.microsoft.com/office/drawing/2014/chart" uri="{C3380CC4-5D6E-409C-BE32-E72D297353CC}">
              <c16:uniqueId val="{00000000-A913-41D4-BEF9-A03FF4DEA13B}"/>
            </c:ext>
          </c:extLst>
        </c:ser>
        <c:ser>
          <c:idx val="1"/>
          <c:order val="1"/>
          <c:tx>
            <c:strRef>
              <c:f>'1.10-1.26 Economic Data'!$F$99</c:f>
              <c:strCache>
                <c:ptCount val="1"/>
                <c:pt idx="0">
                  <c:v>% Change Scotland</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'1.10-1.26 Economic Data'!$B$101:$B$117</c:f>
              <c:numCache>
                <c:formatCode>General</c:formatCode>
                <c:ptCount val="17"/>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numCache>
            </c:numRef>
          </c:xVal>
          <c:yVal>
            <c:numRef>
              <c:f>'1.10-1.26 Economic Data'!$F$101:$F$117</c:f>
              <c:numCache>
                <c:formatCode>0.00%</c:formatCode>
                <c:ptCount val="17"/>
                <c:pt idx="0">
                  <c:v>-8.4945112388917932E-3</c:v>
                </c:pt>
                <c:pt idx="1">
                  <c:v>-2.5701858442071967E-2</c:v>
                </c:pt>
                <c:pt idx="2">
                  <c:v>1.9615800865800864E-2</c:v>
                </c:pt>
                <c:pt idx="3">
                  <c:v>1.4063951174207244E-2</c:v>
                </c:pt>
                <c:pt idx="4">
                  <c:v>3.2709668978149939E-3</c:v>
                </c:pt>
                <c:pt idx="5">
                  <c:v>2.3213354199269693E-2</c:v>
                </c:pt>
                <c:pt idx="6">
                  <c:v>1.274534794799898E-2</c:v>
                </c:pt>
                <c:pt idx="7">
                  <c:v>-8.8094638811980872E-4</c:v>
                </c:pt>
                <c:pt idx="8">
                  <c:v>-4.5345761430910696E-3</c:v>
                </c:pt>
                <c:pt idx="9">
                  <c:v>-2.6572187776793623E-2</c:v>
                </c:pt>
                <c:pt idx="10">
                  <c:v>-6.8893799558039778E-3</c:v>
                </c:pt>
                <c:pt idx="11">
                  <c:v>4.6335078534031411E-2</c:v>
                </c:pt>
                <c:pt idx="12">
                  <c:v>-2.8646484863647736E-2</c:v>
                </c:pt>
                <c:pt idx="13">
                  <c:v>1.416613007083065E-3</c:v>
                </c:pt>
                <c:pt idx="14">
                  <c:v>-6.1728395061728392E-3</c:v>
                </c:pt>
                <c:pt idx="15">
                  <c:v>3.170289855072464E-2</c:v>
                </c:pt>
                <c:pt idx="16">
                  <c:v>2.2450771353317446E-2</c:v>
                </c:pt>
              </c:numCache>
            </c:numRef>
          </c:yVal>
          <c:smooth val="0"/>
          <c:extLst>
            <c:ext xmlns:c16="http://schemas.microsoft.com/office/drawing/2014/chart" uri="{C3380CC4-5D6E-409C-BE32-E72D297353CC}">
              <c16:uniqueId val="{00000001-A913-41D4-BEF9-A03FF4DEA13B}"/>
            </c:ext>
          </c:extLst>
        </c:ser>
        <c:dLbls>
          <c:showLegendKey val="0"/>
          <c:showVal val="0"/>
          <c:showCatName val="0"/>
          <c:showSerName val="0"/>
          <c:showPercent val="0"/>
          <c:showBubbleSize val="0"/>
        </c:dLbls>
        <c:axId val="1171467752"/>
        <c:axId val="1171463160"/>
      </c:scatterChart>
      <c:valAx>
        <c:axId val="117146775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463160"/>
        <c:crosses val="autoZero"/>
        <c:crossBetween val="midCat"/>
      </c:valAx>
      <c:valAx>
        <c:axId val="11714631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46775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Economic Inactivity Rate</a:t>
            </a:r>
            <a:r>
              <a:rPr lang="en-GB" baseline="0"/>
              <a:t> 2004 - 2021</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'1.10-1.26 Economic Data'!$C$123</c:f>
              <c:strCache>
                <c:ptCount val="1"/>
                <c:pt idx="0">
                  <c:v>Moray</c:v>
                </c:pt>
              </c:strCache>
            </c:strRef>
          </c:tx>
          <c:spPr>
            <a:solidFill>
              <a:schemeClr val="accent1"/>
            </a:solidFill>
            <a:ln>
              <a:noFill/>
            </a:ln>
            <a:effectLst/>
          </c:spPr>
          <c:invertIfNegative val="0"/>
          <c:cat>
            <c:numRef>
              <c:f>'1.10-1.26 Economic Data'!$B$124:$B$141</c:f>
              <c:numCache>
                <c:formatCode>General</c:formatCode>
                <c:ptCount val="18"/>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numCache>
            </c:numRef>
          </c:cat>
          <c:val>
            <c:numRef>
              <c:f>'1.10-1.26 Economic Data'!$C$124:$C$141</c:f>
              <c:numCache>
                <c:formatCode>0.00%</c:formatCode>
                <c:ptCount val="18"/>
                <c:pt idx="0">
                  <c:v>0.21600000000000003</c:v>
                </c:pt>
                <c:pt idx="1">
                  <c:v>0.22</c:v>
                </c:pt>
                <c:pt idx="2">
                  <c:v>0.20300000000000001</c:v>
                </c:pt>
                <c:pt idx="3">
                  <c:v>0.19800000000000001</c:v>
                </c:pt>
                <c:pt idx="4">
                  <c:v>0.17300000000000001</c:v>
                </c:pt>
                <c:pt idx="5">
                  <c:v>0.18</c:v>
                </c:pt>
                <c:pt idx="6">
                  <c:v>0.17600000000000002</c:v>
                </c:pt>
                <c:pt idx="7">
                  <c:v>0.18100000000000002</c:v>
                </c:pt>
                <c:pt idx="8">
                  <c:v>0.18899999999999997</c:v>
                </c:pt>
                <c:pt idx="9">
                  <c:v>0.17</c:v>
                </c:pt>
                <c:pt idx="10">
                  <c:v>0.188</c:v>
                </c:pt>
                <c:pt idx="11">
                  <c:v>0.23399999999999999</c:v>
                </c:pt>
                <c:pt idx="12">
                  <c:v>0.20699999999999999</c:v>
                </c:pt>
                <c:pt idx="13">
                  <c:v>0.21199999999999999</c:v>
                </c:pt>
                <c:pt idx="14">
                  <c:v>0.22899999999999998</c:v>
                </c:pt>
                <c:pt idx="15">
                  <c:v>0.221</c:v>
                </c:pt>
                <c:pt idx="16">
                  <c:v>0.222</c:v>
                </c:pt>
                <c:pt idx="17">
                  <c:v>0.247</c:v>
                </c:pt>
              </c:numCache>
            </c:numRef>
          </c:val>
          <c:extLst>
            <c:ext xmlns:c16="http://schemas.microsoft.com/office/drawing/2014/chart" uri="{C3380CC4-5D6E-409C-BE32-E72D297353CC}">
              <c16:uniqueId val="{00000000-6ACD-461E-BB1D-BA04E23BCBF1}"/>
            </c:ext>
          </c:extLst>
        </c:ser>
        <c:ser>
          <c:idx val="1"/>
          <c:order val="1"/>
          <c:tx>
            <c:strRef>
              <c:f>'1.10-1.26 Economic Data'!$D$123</c:f>
              <c:strCache>
                <c:ptCount val="1"/>
                <c:pt idx="0">
                  <c:v>Scotland</c:v>
                </c:pt>
              </c:strCache>
            </c:strRef>
          </c:tx>
          <c:spPr>
            <a:solidFill>
              <a:schemeClr val="accent2"/>
            </a:solidFill>
            <a:ln>
              <a:noFill/>
            </a:ln>
            <a:effectLst/>
          </c:spPr>
          <c:invertIfNegative val="0"/>
          <c:cat>
            <c:numRef>
              <c:f>'1.10-1.26 Economic Data'!$B$124:$B$141</c:f>
              <c:numCache>
                <c:formatCode>General</c:formatCode>
                <c:ptCount val="18"/>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numCache>
            </c:numRef>
          </c:cat>
          <c:val>
            <c:numRef>
              <c:f>'1.10-1.26 Economic Data'!$D$124:$D$141</c:f>
              <c:numCache>
                <c:formatCode>0.00%</c:formatCode>
                <c:ptCount val="18"/>
                <c:pt idx="0">
                  <c:v>0.23300000000000001</c:v>
                </c:pt>
                <c:pt idx="1">
                  <c:v>0.22899999999999998</c:v>
                </c:pt>
                <c:pt idx="2">
                  <c:v>0.222</c:v>
                </c:pt>
                <c:pt idx="3">
                  <c:v>0.22399999999999998</c:v>
                </c:pt>
                <c:pt idx="4">
                  <c:v>0.22600000000000001</c:v>
                </c:pt>
                <c:pt idx="5">
                  <c:v>0.22600000000000001</c:v>
                </c:pt>
                <c:pt idx="6">
                  <c:v>0.23</c:v>
                </c:pt>
                <c:pt idx="7">
                  <c:v>0.23100000000000001</c:v>
                </c:pt>
                <c:pt idx="8">
                  <c:v>0.23199999999999998</c:v>
                </c:pt>
                <c:pt idx="9">
                  <c:v>0.23100000000000001</c:v>
                </c:pt>
                <c:pt idx="10">
                  <c:v>0.22500000000000001</c:v>
                </c:pt>
                <c:pt idx="11">
                  <c:v>0.223</c:v>
                </c:pt>
                <c:pt idx="12">
                  <c:v>0.23300000000000001</c:v>
                </c:pt>
                <c:pt idx="13">
                  <c:v>0.22600000000000001</c:v>
                </c:pt>
                <c:pt idx="14">
                  <c:v>0.22600000000000001</c:v>
                </c:pt>
                <c:pt idx="15">
                  <c:v>0.22500000000000001</c:v>
                </c:pt>
                <c:pt idx="16">
                  <c:v>0.23199999999999998</c:v>
                </c:pt>
                <c:pt idx="17">
                  <c:v>0.23800000000000002</c:v>
                </c:pt>
              </c:numCache>
            </c:numRef>
          </c:val>
          <c:extLst>
            <c:ext xmlns:c16="http://schemas.microsoft.com/office/drawing/2014/chart" uri="{C3380CC4-5D6E-409C-BE32-E72D297353CC}">
              <c16:uniqueId val="{00000001-6ACD-461E-BB1D-BA04E23BCBF1}"/>
            </c:ext>
          </c:extLst>
        </c:ser>
        <c:dLbls>
          <c:showLegendKey val="0"/>
          <c:showVal val="0"/>
          <c:showCatName val="0"/>
          <c:showSerName val="0"/>
          <c:showPercent val="0"/>
          <c:showBubbleSize val="0"/>
        </c:dLbls>
        <c:gapWidth val="219"/>
        <c:overlap val="-27"/>
        <c:axId val="722749832"/>
        <c:axId val="722750488"/>
      </c:barChart>
      <c:catAx>
        <c:axId val="722749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2750488"/>
        <c:crosses val="autoZero"/>
        <c:auto val="1"/>
        <c:lblAlgn val="ctr"/>
        <c:lblOffset val="100"/>
        <c:noMultiLvlLbl val="0"/>
      </c:catAx>
      <c:valAx>
        <c:axId val="72275048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2749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r>
              <a:rPr lang="en-GB" sz="1600">
                <a:solidFill>
                  <a:sysClr val="windowText" lastClr="000000"/>
                </a:solidFill>
              </a:rPr>
              <a:t>Gross</a:t>
            </a:r>
            <a:r>
              <a:rPr lang="en-GB" sz="1600" baseline="0">
                <a:solidFill>
                  <a:sysClr val="windowText" lastClr="000000"/>
                </a:solidFill>
              </a:rPr>
              <a:t> Added Value per Head 2008 - 2018</a:t>
            </a:r>
            <a:endParaRPr lang="en-GB" sz="1600">
              <a:solidFill>
                <a:sysClr val="windowText" lastClr="000000"/>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'1.10-1.26 Economic Data'!$C$165</c:f>
              <c:strCache>
                <c:ptCount val="1"/>
                <c:pt idx="0">
                  <c:v>Moray</c:v>
                </c:pt>
              </c:strCache>
            </c:strRef>
          </c:tx>
          <c:spPr>
            <a:ln w="28575" cap="rnd">
              <a:solidFill>
                <a:schemeClr val="accent1"/>
              </a:solidFill>
              <a:round/>
            </a:ln>
            <a:effectLst/>
          </c:spPr>
          <c:marker>
            <c:symbol val="none"/>
          </c:marker>
          <c:cat>
            <c:numRef>
              <c:f>'1.10-1.26 Economic Data'!$B$166:$B$176</c:f>
              <c:numCache>
                <c:formatCode>General</c:formatCode>
                <c:ptCount val="11"/>
                <c:pt idx="0">
                  <c:v>2008</c:v>
                </c:pt>
                <c:pt idx="1">
                  <c:v>2009</c:v>
                </c:pt>
                <c:pt idx="2">
                  <c:v>2010</c:v>
                </c:pt>
                <c:pt idx="3">
                  <c:v>2011</c:v>
                </c:pt>
                <c:pt idx="4">
                  <c:v>2012</c:v>
                </c:pt>
                <c:pt idx="5">
                  <c:v>2013</c:v>
                </c:pt>
                <c:pt idx="6">
                  <c:v>2014</c:v>
                </c:pt>
                <c:pt idx="7">
                  <c:v>2015</c:v>
                </c:pt>
                <c:pt idx="8">
                  <c:v>2016</c:v>
                </c:pt>
                <c:pt idx="9">
                  <c:v>2017</c:v>
                </c:pt>
                <c:pt idx="10">
                  <c:v>2018</c:v>
                </c:pt>
              </c:numCache>
            </c:numRef>
          </c:cat>
          <c:val>
            <c:numRef>
              <c:f>'1.10-1.26 Economic Data'!$C$166:$C$176</c:f>
              <c:numCache>
                <c:formatCode>#,##0</c:formatCode>
                <c:ptCount val="11"/>
                <c:pt idx="0">
                  <c:v>53240</c:v>
                </c:pt>
                <c:pt idx="1">
                  <c:v>63518</c:v>
                </c:pt>
                <c:pt idx="2">
                  <c:v>58275</c:v>
                </c:pt>
                <c:pt idx="3">
                  <c:v>58644</c:v>
                </c:pt>
                <c:pt idx="4">
                  <c:v>54584</c:v>
                </c:pt>
                <c:pt idx="5">
                  <c:v>57510</c:v>
                </c:pt>
                <c:pt idx="6">
                  <c:v>35955</c:v>
                </c:pt>
                <c:pt idx="7">
                  <c:v>41025</c:v>
                </c:pt>
                <c:pt idx="8">
                  <c:v>39403</c:v>
                </c:pt>
                <c:pt idx="9">
                  <c:v>48667</c:v>
                </c:pt>
                <c:pt idx="10">
                  <c:v>45019</c:v>
                </c:pt>
              </c:numCache>
            </c:numRef>
          </c:val>
          <c:smooth val="0"/>
          <c:extLst>
            <c:ext xmlns:c16="http://schemas.microsoft.com/office/drawing/2014/chart" uri="{C3380CC4-5D6E-409C-BE32-E72D297353CC}">
              <c16:uniqueId val="{00000000-C385-4432-B29B-C3255FCA75A0}"/>
            </c:ext>
          </c:extLst>
        </c:ser>
        <c:ser>
          <c:idx val="1"/>
          <c:order val="1"/>
          <c:tx>
            <c:strRef>
              <c:f>'1.10-1.26 Economic Data'!$D$165</c:f>
              <c:strCache>
                <c:ptCount val="1"/>
                <c:pt idx="0">
                  <c:v>Scotland</c:v>
                </c:pt>
              </c:strCache>
            </c:strRef>
          </c:tx>
          <c:spPr>
            <a:ln w="28575" cap="rnd">
              <a:solidFill>
                <a:schemeClr val="accent2"/>
              </a:solidFill>
              <a:round/>
            </a:ln>
            <a:effectLst/>
          </c:spPr>
          <c:marker>
            <c:symbol val="none"/>
          </c:marker>
          <c:cat>
            <c:numRef>
              <c:f>'1.10-1.26 Economic Data'!$B$166:$B$176</c:f>
              <c:numCache>
                <c:formatCode>General</c:formatCode>
                <c:ptCount val="11"/>
                <c:pt idx="0">
                  <c:v>2008</c:v>
                </c:pt>
                <c:pt idx="1">
                  <c:v>2009</c:v>
                </c:pt>
                <c:pt idx="2">
                  <c:v>2010</c:v>
                </c:pt>
                <c:pt idx="3">
                  <c:v>2011</c:v>
                </c:pt>
                <c:pt idx="4">
                  <c:v>2012</c:v>
                </c:pt>
                <c:pt idx="5">
                  <c:v>2013</c:v>
                </c:pt>
                <c:pt idx="6">
                  <c:v>2014</c:v>
                </c:pt>
                <c:pt idx="7">
                  <c:v>2015</c:v>
                </c:pt>
                <c:pt idx="8">
                  <c:v>2016</c:v>
                </c:pt>
                <c:pt idx="9">
                  <c:v>2017</c:v>
                </c:pt>
                <c:pt idx="10">
                  <c:v>2018</c:v>
                </c:pt>
              </c:numCache>
            </c:numRef>
          </c:cat>
          <c:val>
            <c:numRef>
              <c:f>'1.10-1.26 Economic Data'!$D$166:$D$176</c:f>
              <c:numCache>
                <c:formatCode>#,##0</c:formatCode>
                <c:ptCount val="11"/>
                <c:pt idx="0">
                  <c:v>49874</c:v>
                </c:pt>
                <c:pt idx="1">
                  <c:v>46085</c:v>
                </c:pt>
                <c:pt idx="2">
                  <c:v>48502</c:v>
                </c:pt>
                <c:pt idx="3">
                  <c:v>50690</c:v>
                </c:pt>
                <c:pt idx="4">
                  <c:v>50403</c:v>
                </c:pt>
                <c:pt idx="5">
                  <c:v>53803</c:v>
                </c:pt>
                <c:pt idx="6">
                  <c:v>50163</c:v>
                </c:pt>
                <c:pt idx="7">
                  <c:v>48173</c:v>
                </c:pt>
                <c:pt idx="8">
                  <c:v>45202</c:v>
                </c:pt>
                <c:pt idx="9">
                  <c:v>50906</c:v>
                </c:pt>
                <c:pt idx="10">
                  <c:v>52549</c:v>
                </c:pt>
              </c:numCache>
            </c:numRef>
          </c:val>
          <c:smooth val="0"/>
          <c:extLst>
            <c:ext xmlns:c16="http://schemas.microsoft.com/office/drawing/2014/chart" uri="{C3380CC4-5D6E-409C-BE32-E72D297353CC}">
              <c16:uniqueId val="{00000001-C385-4432-B29B-C3255FCA75A0}"/>
            </c:ext>
          </c:extLst>
        </c:ser>
        <c:dLbls>
          <c:showLegendKey val="0"/>
          <c:showVal val="0"/>
          <c:showCatName val="0"/>
          <c:showSerName val="0"/>
          <c:showPercent val="0"/>
          <c:showBubbleSize val="0"/>
        </c:dLbls>
        <c:smooth val="0"/>
        <c:axId val="825599520"/>
        <c:axId val="825601488"/>
      </c:lineChart>
      <c:catAx>
        <c:axId val="825599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825601488"/>
        <c:crosses val="autoZero"/>
        <c:auto val="1"/>
        <c:lblAlgn val="ctr"/>
        <c:lblOffset val="100"/>
        <c:noMultiLvlLbl val="0"/>
      </c:catAx>
      <c:valAx>
        <c:axId val="82560148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8255995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 Change in Claimant</a:t>
            </a:r>
            <a:r>
              <a:rPr lang="en-GB" baseline="0"/>
              <a:t> Court Total 2017 - 2022 </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'1.10-1.26 Economic Data'!$E$147</c:f>
              <c:strCache>
                <c:ptCount val="1"/>
                <c:pt idx="0">
                  <c:v>% Change on year 
Moray</c:v>
                </c:pt>
              </c:strCache>
            </c:strRef>
          </c:tx>
          <c:spPr>
            <a:solidFill>
              <a:schemeClr val="accent1"/>
            </a:solidFill>
            <a:ln>
              <a:noFill/>
            </a:ln>
            <a:effectLst/>
          </c:spPr>
          <c:invertIfNegative val="0"/>
          <c:cat>
            <c:numRef>
              <c:f>'1.10-1.26 Economic Data'!$B$149:$B$153</c:f>
              <c:numCache>
                <c:formatCode>General</c:formatCode>
                <c:ptCount val="5"/>
                <c:pt idx="0">
                  <c:v>2018</c:v>
                </c:pt>
                <c:pt idx="1">
                  <c:v>2019</c:v>
                </c:pt>
                <c:pt idx="2">
                  <c:v>2020</c:v>
                </c:pt>
                <c:pt idx="3">
                  <c:v>2021</c:v>
                </c:pt>
                <c:pt idx="4">
                  <c:v>2022</c:v>
                </c:pt>
              </c:numCache>
            </c:numRef>
          </c:cat>
          <c:val>
            <c:numRef>
              <c:f>'1.10-1.26 Economic Data'!$E$149:$E$153</c:f>
              <c:numCache>
                <c:formatCode>0%</c:formatCode>
                <c:ptCount val="5"/>
                <c:pt idx="0">
                  <c:v>0.12371134020618557</c:v>
                </c:pt>
                <c:pt idx="1">
                  <c:v>0.31192660550458717</c:v>
                </c:pt>
                <c:pt idx="2">
                  <c:v>1.0419580419580419</c:v>
                </c:pt>
                <c:pt idx="3">
                  <c:v>-0.26712328767123289</c:v>
                </c:pt>
                <c:pt idx="4">
                  <c:v>-0.37616822429906543</c:v>
                </c:pt>
              </c:numCache>
            </c:numRef>
          </c:val>
          <c:extLst>
            <c:ext xmlns:c16="http://schemas.microsoft.com/office/drawing/2014/chart" uri="{C3380CC4-5D6E-409C-BE32-E72D297353CC}">
              <c16:uniqueId val="{00000000-E9D0-4201-9D43-1CE546427825}"/>
            </c:ext>
          </c:extLst>
        </c:ser>
        <c:ser>
          <c:idx val="1"/>
          <c:order val="1"/>
          <c:tx>
            <c:strRef>
              <c:f>'1.10-1.26 Economic Data'!$F$147</c:f>
              <c:strCache>
                <c:ptCount val="1"/>
                <c:pt idx="0">
                  <c:v>% Change on year 
Scotland</c:v>
                </c:pt>
              </c:strCache>
            </c:strRef>
          </c:tx>
          <c:spPr>
            <a:solidFill>
              <a:schemeClr val="accent2"/>
            </a:solidFill>
            <a:ln>
              <a:noFill/>
            </a:ln>
            <a:effectLst/>
          </c:spPr>
          <c:invertIfNegative val="0"/>
          <c:cat>
            <c:numRef>
              <c:f>'1.10-1.26 Economic Data'!$B$149:$B$153</c:f>
              <c:numCache>
                <c:formatCode>General</c:formatCode>
                <c:ptCount val="5"/>
                <c:pt idx="0">
                  <c:v>2018</c:v>
                </c:pt>
                <c:pt idx="1">
                  <c:v>2019</c:v>
                </c:pt>
                <c:pt idx="2">
                  <c:v>2020</c:v>
                </c:pt>
                <c:pt idx="3">
                  <c:v>2021</c:v>
                </c:pt>
                <c:pt idx="4">
                  <c:v>2022</c:v>
                </c:pt>
              </c:numCache>
            </c:numRef>
          </c:cat>
          <c:val>
            <c:numRef>
              <c:f>'1.10-1.26 Economic Data'!$F$149:$F$153</c:f>
              <c:numCache>
                <c:formatCode>0%</c:formatCode>
                <c:ptCount val="5"/>
                <c:pt idx="0">
                  <c:v>0.19772539551432747</c:v>
                </c:pt>
                <c:pt idx="1">
                  <c:v>0.16900960161264655</c:v>
                </c:pt>
                <c:pt idx="2">
                  <c:v>1.0149748150837228</c:v>
                </c:pt>
                <c:pt idx="3">
                  <c:v>-0.28342041257544365</c:v>
                </c:pt>
                <c:pt idx="4">
                  <c:v>-0.31119771205883279</c:v>
                </c:pt>
              </c:numCache>
            </c:numRef>
          </c:val>
          <c:extLst>
            <c:ext xmlns:c16="http://schemas.microsoft.com/office/drawing/2014/chart" uri="{C3380CC4-5D6E-409C-BE32-E72D297353CC}">
              <c16:uniqueId val="{00000001-E9D0-4201-9D43-1CE546427825}"/>
            </c:ext>
          </c:extLst>
        </c:ser>
        <c:dLbls>
          <c:showLegendKey val="0"/>
          <c:showVal val="0"/>
          <c:showCatName val="0"/>
          <c:showSerName val="0"/>
          <c:showPercent val="0"/>
          <c:showBubbleSize val="0"/>
        </c:dLbls>
        <c:gapWidth val="219"/>
        <c:overlap val="-27"/>
        <c:axId val="2102294552"/>
        <c:axId val="2102291928"/>
      </c:barChart>
      <c:catAx>
        <c:axId val="210229455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02291928"/>
        <c:crosses val="autoZero"/>
        <c:auto val="1"/>
        <c:lblAlgn val="ctr"/>
        <c:lblOffset val="100"/>
        <c:noMultiLvlLbl val="0"/>
      </c:catAx>
      <c:valAx>
        <c:axId val="21022919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022945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Unemployment</a:t>
            </a:r>
            <a:r>
              <a:rPr lang="en-GB" baseline="0"/>
              <a:t> Rate </a:t>
            </a:r>
            <a:r>
              <a:rPr lang="en-GB"/>
              <a:t>Jul 2019-Jun 2020 Rate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'[6]2.10'!$C$24:$C$25</c:f>
              <c:strCache>
                <c:ptCount val="1"/>
                <c:pt idx="0">
                  <c:v>Jul 2019-Jun 2020 Rate</c:v>
                </c:pt>
              </c:strCache>
            </c:strRef>
          </c:tx>
          <c:spPr>
            <a:solidFill>
              <a:schemeClr val="accent1"/>
            </a:solidFill>
            <a:ln>
              <a:noFill/>
            </a:ln>
            <a:effectLst/>
          </c:spPr>
          <c:invertIfNegative val="0"/>
          <c:cat>
            <c:strRef>
              <c:f>'[6]2.10'!$B$26:$B$30</c:f>
              <c:strCache>
                <c:ptCount val="5"/>
                <c:pt idx="0">
                  <c:v>Angus</c:v>
                </c:pt>
                <c:pt idx="1">
                  <c:v>Dundee City</c:v>
                </c:pt>
                <c:pt idx="2">
                  <c:v>Fife</c:v>
                </c:pt>
                <c:pt idx="3">
                  <c:v>Perth and Kinross</c:v>
                </c:pt>
                <c:pt idx="4">
                  <c:v>Scotland</c:v>
                </c:pt>
              </c:strCache>
            </c:strRef>
          </c:cat>
          <c:val>
            <c:numRef>
              <c:f>'[6]2.10'!$C$26:$C$30</c:f>
              <c:numCache>
                <c:formatCode>General</c:formatCode>
                <c:ptCount val="5"/>
                <c:pt idx="0">
                  <c:v>2.5</c:v>
                </c:pt>
                <c:pt idx="1">
                  <c:v>4.2</c:v>
                </c:pt>
                <c:pt idx="2">
                  <c:v>3.9</c:v>
                </c:pt>
                <c:pt idx="3">
                  <c:v>2.6</c:v>
                </c:pt>
                <c:pt idx="4">
                  <c:v>3.3</c:v>
                </c:pt>
              </c:numCache>
            </c:numRef>
          </c:val>
          <c:extLst>
            <c:ext xmlns:c16="http://schemas.microsoft.com/office/drawing/2014/chart" uri="{C3380CC4-5D6E-409C-BE32-E72D297353CC}">
              <c16:uniqueId val="{00000000-257A-4169-A2E5-F17AD0EC80DC}"/>
            </c:ext>
          </c:extLst>
        </c:ser>
        <c:dLbls>
          <c:showLegendKey val="0"/>
          <c:showVal val="0"/>
          <c:showCatName val="0"/>
          <c:showSerName val="0"/>
          <c:showPercent val="0"/>
          <c:showBubbleSize val="0"/>
        </c:dLbls>
        <c:gapWidth val="182"/>
        <c:axId val="516730584"/>
        <c:axId val="516729928"/>
      </c:barChart>
      <c:catAx>
        <c:axId val="51673058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6729928"/>
        <c:crosses val="autoZero"/>
        <c:auto val="1"/>
        <c:lblAlgn val="ctr"/>
        <c:lblOffset val="100"/>
        <c:noMultiLvlLbl val="0"/>
      </c:catAx>
      <c:valAx>
        <c:axId val="5167299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67305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Oct 2020 Claimant Count rate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'[6]2.10'!$E$35</c:f>
              <c:strCache>
                <c:ptCount val="1"/>
                <c:pt idx="0">
                  <c:v>Claimant Count rate (%)</c:v>
                </c:pt>
              </c:strCache>
            </c:strRef>
          </c:tx>
          <c:spPr>
            <a:solidFill>
              <a:schemeClr val="accent1"/>
            </a:solidFill>
            <a:ln>
              <a:noFill/>
            </a:ln>
            <a:effectLst/>
          </c:spPr>
          <c:invertIfNegative val="0"/>
          <c:cat>
            <c:strRef>
              <c:f>'[6]2.10'!$B$36:$B$40</c:f>
              <c:strCache>
                <c:ptCount val="5"/>
                <c:pt idx="0">
                  <c:v>Angus</c:v>
                </c:pt>
                <c:pt idx="1">
                  <c:v>Dundee City</c:v>
                </c:pt>
                <c:pt idx="2">
                  <c:v>Fife</c:v>
                </c:pt>
                <c:pt idx="3">
                  <c:v>Perth and Kinross</c:v>
                </c:pt>
                <c:pt idx="4">
                  <c:v>Scotland</c:v>
                </c:pt>
              </c:strCache>
            </c:strRef>
          </c:cat>
          <c:val>
            <c:numRef>
              <c:f>'[6]2.10'!$E$36:$E$40</c:f>
              <c:numCache>
                <c:formatCode>General</c:formatCode>
                <c:ptCount val="5"/>
                <c:pt idx="0">
                  <c:v>5.4</c:v>
                </c:pt>
                <c:pt idx="1">
                  <c:v>7.2</c:v>
                </c:pt>
                <c:pt idx="2">
                  <c:v>6.4</c:v>
                </c:pt>
                <c:pt idx="3">
                  <c:v>4.7</c:v>
                </c:pt>
                <c:pt idx="4">
                  <c:v>6</c:v>
                </c:pt>
              </c:numCache>
            </c:numRef>
          </c:val>
          <c:extLst>
            <c:ext xmlns:c16="http://schemas.microsoft.com/office/drawing/2014/chart" uri="{C3380CC4-5D6E-409C-BE32-E72D297353CC}">
              <c16:uniqueId val="{00000000-19EC-44BB-96AD-4CC602EC1C31}"/>
            </c:ext>
          </c:extLst>
        </c:ser>
        <c:dLbls>
          <c:showLegendKey val="0"/>
          <c:showVal val="0"/>
          <c:showCatName val="0"/>
          <c:showSerName val="0"/>
          <c:showPercent val="0"/>
          <c:showBubbleSize val="0"/>
        </c:dLbls>
        <c:gapWidth val="182"/>
        <c:axId val="589145432"/>
        <c:axId val="589145760"/>
      </c:barChart>
      <c:catAx>
        <c:axId val="5891454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9145760"/>
        <c:crosses val="autoZero"/>
        <c:auto val="1"/>
        <c:lblAlgn val="ctr"/>
        <c:lblOffset val="100"/>
        <c:noMultiLvlLbl val="0"/>
      </c:catAx>
      <c:valAx>
        <c:axId val="58914576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91454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16-24 Claimant Count Rates October 2020</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'[6]2.10'!$E$45</c:f>
              <c:strCache>
                <c:ptCount val="1"/>
                <c:pt idx="0">
                  <c:v>October 2020</c:v>
                </c:pt>
              </c:strCache>
            </c:strRef>
          </c:tx>
          <c:spPr>
            <a:solidFill>
              <a:schemeClr val="accent1"/>
            </a:solidFill>
            <a:ln>
              <a:noFill/>
            </a:ln>
            <a:effectLst/>
          </c:spPr>
          <c:invertIfNegative val="0"/>
          <c:cat>
            <c:strRef>
              <c:f>'[6]2.10'!$B$46:$B$50</c:f>
              <c:strCache>
                <c:ptCount val="5"/>
                <c:pt idx="0">
                  <c:v>Scotland</c:v>
                </c:pt>
                <c:pt idx="1">
                  <c:v>Angus</c:v>
                </c:pt>
                <c:pt idx="2">
                  <c:v>Dundee City</c:v>
                </c:pt>
                <c:pt idx="3">
                  <c:v>Fife</c:v>
                </c:pt>
                <c:pt idx="4">
                  <c:v>Perth and Kinross</c:v>
                </c:pt>
              </c:strCache>
            </c:strRef>
          </c:cat>
          <c:val>
            <c:numRef>
              <c:f>'[6]2.10'!$E$46:$E$50</c:f>
              <c:numCache>
                <c:formatCode>General</c:formatCode>
                <c:ptCount val="5"/>
                <c:pt idx="0">
                  <c:v>7.3763948393124199</c:v>
                </c:pt>
                <c:pt idx="1">
                  <c:v>7.6047401324997672</c:v>
                </c:pt>
                <c:pt idx="2">
                  <c:v>7.638523059240458</c:v>
                </c:pt>
                <c:pt idx="3">
                  <c:v>7.9753376101445301</c:v>
                </c:pt>
                <c:pt idx="4">
                  <c:v>6.5119324796274736</c:v>
                </c:pt>
              </c:numCache>
            </c:numRef>
          </c:val>
          <c:extLst>
            <c:ext xmlns:c16="http://schemas.microsoft.com/office/drawing/2014/chart" uri="{C3380CC4-5D6E-409C-BE32-E72D297353CC}">
              <c16:uniqueId val="{00000000-A57C-45B7-9910-4395DE367D06}"/>
            </c:ext>
          </c:extLst>
        </c:ser>
        <c:dLbls>
          <c:showLegendKey val="0"/>
          <c:showVal val="0"/>
          <c:showCatName val="0"/>
          <c:showSerName val="0"/>
          <c:showPercent val="0"/>
          <c:showBubbleSize val="0"/>
        </c:dLbls>
        <c:gapWidth val="182"/>
        <c:axId val="435188720"/>
        <c:axId val="435189048"/>
      </c:barChart>
      <c:catAx>
        <c:axId val="43518872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5189048"/>
        <c:crosses val="autoZero"/>
        <c:auto val="1"/>
        <c:lblAlgn val="ctr"/>
        <c:lblOffset val="100"/>
        <c:noMultiLvlLbl val="0"/>
      </c:catAx>
      <c:valAx>
        <c:axId val="4351890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51887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'[6]2.10'!$E$54</c:f>
              <c:strCache>
                <c:ptCount val="1"/>
                <c:pt idx="0">
                  <c:v>Alternative Claimant Count rate (%)</c:v>
                </c:pt>
              </c:strCache>
            </c:strRef>
          </c:tx>
          <c:spPr>
            <a:solidFill>
              <a:schemeClr val="accent1"/>
            </a:solidFill>
            <a:ln>
              <a:noFill/>
            </a:ln>
            <a:effectLst/>
          </c:spPr>
          <c:invertIfNegative val="0"/>
          <c:cat>
            <c:strRef>
              <c:f>'[6]2.10'!$B$55:$B$59</c:f>
              <c:strCache>
                <c:ptCount val="5"/>
                <c:pt idx="0">
                  <c:v>Angus</c:v>
                </c:pt>
                <c:pt idx="1">
                  <c:v>Dundee City</c:v>
                </c:pt>
                <c:pt idx="2">
                  <c:v>Fife</c:v>
                </c:pt>
                <c:pt idx="3">
                  <c:v>Perth and Kinross</c:v>
                </c:pt>
                <c:pt idx="4">
                  <c:v>Scotland</c:v>
                </c:pt>
              </c:strCache>
            </c:strRef>
          </c:cat>
          <c:val>
            <c:numRef>
              <c:f>'[6]2.10'!$E$55:$E$59</c:f>
              <c:numCache>
                <c:formatCode>General</c:formatCode>
                <c:ptCount val="5"/>
                <c:pt idx="0">
                  <c:v>5.8023532808777878</c:v>
                </c:pt>
                <c:pt idx="1">
                  <c:v>7.6051567902105655</c:v>
                </c:pt>
                <c:pt idx="2">
                  <c:v>6.9744885202652025</c:v>
                </c:pt>
                <c:pt idx="3">
                  <c:v>5.1038769834778339</c:v>
                </c:pt>
                <c:pt idx="4">
                  <c:v>6.3773708758581931</c:v>
                </c:pt>
              </c:numCache>
            </c:numRef>
          </c:val>
          <c:extLst>
            <c:ext xmlns:c16="http://schemas.microsoft.com/office/drawing/2014/chart" uri="{C3380CC4-5D6E-409C-BE32-E72D297353CC}">
              <c16:uniqueId val="{00000000-68F7-491C-A309-DAA930EF2803}"/>
            </c:ext>
          </c:extLst>
        </c:ser>
        <c:dLbls>
          <c:showLegendKey val="0"/>
          <c:showVal val="0"/>
          <c:showCatName val="0"/>
          <c:showSerName val="0"/>
          <c:showPercent val="0"/>
          <c:showBubbleSize val="0"/>
        </c:dLbls>
        <c:gapWidth val="182"/>
        <c:axId val="592091704"/>
        <c:axId val="592095312"/>
      </c:barChart>
      <c:catAx>
        <c:axId val="5920917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2095312"/>
        <c:crosses val="autoZero"/>
        <c:auto val="1"/>
        <c:lblAlgn val="ctr"/>
        <c:lblOffset val="100"/>
        <c:noMultiLvlLbl val="0"/>
      </c:catAx>
      <c:valAx>
        <c:axId val="59209531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20917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Percentage Change by</a:t>
            </a:r>
            <a:r>
              <a:rPr lang="en-GB" baseline="0"/>
              <a:t> Age Cohort 2001 vs. 2021</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'1.1 Population Projections'!$C$120</c:f>
              <c:strCache>
                <c:ptCount val="1"/>
                <c:pt idx="0">
                  <c:v>Moray</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 Population Projections'!$B$121:$B$125</c:f>
              <c:strCache>
                <c:ptCount val="5"/>
                <c:pt idx="0">
                  <c:v>0-15</c:v>
                </c:pt>
                <c:pt idx="1">
                  <c:v>16-24</c:v>
                </c:pt>
                <c:pt idx="2">
                  <c:v>25-64</c:v>
                </c:pt>
                <c:pt idx="3">
                  <c:v>65-84</c:v>
                </c:pt>
                <c:pt idx="4">
                  <c:v>85+</c:v>
                </c:pt>
              </c:strCache>
            </c:strRef>
          </c:cat>
          <c:val>
            <c:numRef>
              <c:f>'1.1 Population Projections'!$C$121:$C$125</c:f>
              <c:numCache>
                <c:formatCode>0%</c:formatCode>
                <c:ptCount val="5"/>
                <c:pt idx="0">
                  <c:v>-8.8460658737419942E-2</c:v>
                </c:pt>
                <c:pt idx="1">
                  <c:v>0.10581818181818183</c:v>
                </c:pt>
                <c:pt idx="2">
                  <c:v>5.8726009054390106E-2</c:v>
                </c:pt>
                <c:pt idx="3">
                  <c:v>0.47350602314778362</c:v>
                </c:pt>
                <c:pt idx="4">
                  <c:v>0.86441798941798942</c:v>
                </c:pt>
              </c:numCache>
            </c:numRef>
          </c:val>
          <c:extLst>
            <c:ext xmlns:c16="http://schemas.microsoft.com/office/drawing/2014/chart" uri="{C3380CC4-5D6E-409C-BE32-E72D297353CC}">
              <c16:uniqueId val="{00000000-60F7-4A5D-A032-A7E6DF601A17}"/>
            </c:ext>
          </c:extLst>
        </c:ser>
        <c:ser>
          <c:idx val="1"/>
          <c:order val="1"/>
          <c:tx>
            <c:strRef>
              <c:f>'1.1 Population Projections'!$D$120</c:f>
              <c:strCache>
                <c:ptCount val="1"/>
                <c:pt idx="0">
                  <c:v>Scotland</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 Population Projections'!$B$121:$B$125</c:f>
              <c:strCache>
                <c:ptCount val="5"/>
                <c:pt idx="0">
                  <c:v>0-15</c:v>
                </c:pt>
                <c:pt idx="1">
                  <c:v>16-24</c:v>
                </c:pt>
                <c:pt idx="2">
                  <c:v>25-64</c:v>
                </c:pt>
                <c:pt idx="3">
                  <c:v>65-84</c:v>
                </c:pt>
                <c:pt idx="4">
                  <c:v>85+</c:v>
                </c:pt>
              </c:strCache>
            </c:strRef>
          </c:cat>
          <c:val>
            <c:numRef>
              <c:f>'1.1 Population Projections'!$D$121:$D$125</c:f>
              <c:numCache>
                <c:formatCode>0%</c:formatCode>
                <c:ptCount val="5"/>
                <c:pt idx="0">
                  <c:v>-6.0648780779369603E-2</c:v>
                </c:pt>
                <c:pt idx="1">
                  <c:v>-1.7277312582471113E-2</c:v>
                </c:pt>
                <c:pt idx="2">
                  <c:v>8.0057829616678344E-2</c:v>
                </c:pt>
                <c:pt idx="3">
                  <c:v>0.31203933256030525</c:v>
                </c:pt>
                <c:pt idx="4">
                  <c:v>0.47880487420321194</c:v>
                </c:pt>
              </c:numCache>
            </c:numRef>
          </c:val>
          <c:extLst>
            <c:ext xmlns:c16="http://schemas.microsoft.com/office/drawing/2014/chart" uri="{C3380CC4-5D6E-409C-BE32-E72D297353CC}">
              <c16:uniqueId val="{00000001-60F7-4A5D-A032-A7E6DF601A17}"/>
            </c:ext>
          </c:extLst>
        </c:ser>
        <c:dLbls>
          <c:showLegendKey val="0"/>
          <c:showVal val="0"/>
          <c:showCatName val="0"/>
          <c:showSerName val="0"/>
          <c:showPercent val="0"/>
          <c:showBubbleSize val="0"/>
        </c:dLbls>
        <c:gapWidth val="219"/>
        <c:overlap val="-27"/>
        <c:axId val="974888848"/>
        <c:axId val="974892128"/>
      </c:barChart>
      <c:catAx>
        <c:axId val="97488884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4892128"/>
        <c:crosses val="autoZero"/>
        <c:auto val="1"/>
        <c:lblAlgn val="ctr"/>
        <c:lblOffset val="100"/>
        <c:noMultiLvlLbl val="0"/>
      </c:catAx>
      <c:valAx>
        <c:axId val="9748921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48888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16-24 Alternative Claimant Count Rate Aug-20</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'[6]2.10'!$E$64</c:f>
              <c:strCache>
                <c:ptCount val="1"/>
                <c:pt idx="0">
                  <c:v>44044</c:v>
                </c:pt>
              </c:strCache>
            </c:strRef>
          </c:tx>
          <c:spPr>
            <a:solidFill>
              <a:schemeClr val="accent1"/>
            </a:solidFill>
            <a:ln>
              <a:noFill/>
            </a:ln>
            <a:effectLst/>
          </c:spPr>
          <c:invertIfNegative val="0"/>
          <c:cat>
            <c:strRef>
              <c:f>'[6]2.10'!$B$66:$B$69</c:f>
              <c:strCache>
                <c:ptCount val="4"/>
                <c:pt idx="0">
                  <c:v>Angus</c:v>
                </c:pt>
                <c:pt idx="1">
                  <c:v>Dundee City</c:v>
                </c:pt>
                <c:pt idx="2">
                  <c:v>Fife</c:v>
                </c:pt>
                <c:pt idx="3">
                  <c:v>Perth and Kinross</c:v>
                </c:pt>
              </c:strCache>
            </c:strRef>
          </c:cat>
          <c:val>
            <c:numRef>
              <c:f>'[6]2.10'!$E$66:$E$69</c:f>
              <c:numCache>
                <c:formatCode>General</c:formatCode>
                <c:ptCount val="4"/>
                <c:pt idx="0">
                  <c:v>8.1999999999999993</c:v>
                </c:pt>
                <c:pt idx="1">
                  <c:v>8.1999999999999993</c:v>
                </c:pt>
                <c:pt idx="2">
                  <c:v>8.6</c:v>
                </c:pt>
                <c:pt idx="3">
                  <c:v>6.9</c:v>
                </c:pt>
              </c:numCache>
            </c:numRef>
          </c:val>
          <c:extLst>
            <c:ext xmlns:c16="http://schemas.microsoft.com/office/drawing/2014/chart" uri="{C3380CC4-5D6E-409C-BE32-E72D297353CC}">
              <c16:uniqueId val="{00000000-2EF5-4372-83E2-D182BE544A88}"/>
            </c:ext>
          </c:extLst>
        </c:ser>
        <c:dLbls>
          <c:showLegendKey val="0"/>
          <c:showVal val="0"/>
          <c:showCatName val="0"/>
          <c:showSerName val="0"/>
          <c:showPercent val="0"/>
          <c:showBubbleSize val="0"/>
        </c:dLbls>
        <c:gapWidth val="182"/>
        <c:axId val="599061088"/>
        <c:axId val="599060760"/>
      </c:barChart>
      <c:catAx>
        <c:axId val="5990610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9060760"/>
        <c:crosses val="autoZero"/>
        <c:auto val="1"/>
        <c:lblAlgn val="ctr"/>
        <c:lblOffset val="100"/>
        <c:noMultiLvlLbl val="0"/>
      </c:catAx>
      <c:valAx>
        <c:axId val="59906076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9061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Employment (thousands) by Local Authority County 2019</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'[6]2.10'!$B$74</c:f>
              <c:strCache>
                <c:ptCount val="1"/>
                <c:pt idx="0">
                  <c:v>Angus</c:v>
                </c:pt>
              </c:strCache>
            </c:strRef>
          </c:tx>
          <c:spPr>
            <a:solidFill>
              <a:schemeClr val="accent1"/>
            </a:solidFill>
            <a:ln>
              <a:noFill/>
            </a:ln>
            <a:effectLst/>
          </c:spPr>
          <c:invertIfNegative val="0"/>
          <c:cat>
            <c:multiLvlStrRef>
              <c:f>'[6]2.10'!$C$72:$H$73</c:f>
              <c:multiLvlStrCache>
                <c:ptCount val="6"/>
                <c:lvl>
                  <c:pt idx="0">
                    <c:v>Public</c:v>
                  </c:pt>
                  <c:pt idx="1">
                    <c:v>Private</c:v>
                  </c:pt>
                  <c:pt idx="2">
                    <c:v>All</c:v>
                  </c:pt>
                  <c:pt idx="3">
                    <c:v>Public</c:v>
                  </c:pt>
                  <c:pt idx="4">
                    <c:v>Private</c:v>
                  </c:pt>
                  <c:pt idx="5">
                    <c:v>All</c:v>
                  </c:pt>
                </c:lvl>
                <c:lvl>
                  <c:pt idx="0">
                    <c:v>Full time employees</c:v>
                  </c:pt>
                  <c:pt idx="3">
                    <c:v>Part time employees</c:v>
                  </c:pt>
                </c:lvl>
              </c:multiLvlStrCache>
            </c:multiLvlStrRef>
          </c:cat>
          <c:val>
            <c:numRef>
              <c:f>'[6]2.10'!$C$74:$H$74</c:f>
              <c:numCache>
                <c:formatCode>General</c:formatCode>
                <c:ptCount val="6"/>
                <c:pt idx="0">
                  <c:v>4.0999999999999996</c:v>
                </c:pt>
                <c:pt idx="1">
                  <c:v>17.2</c:v>
                </c:pt>
                <c:pt idx="2">
                  <c:v>21.3</c:v>
                </c:pt>
                <c:pt idx="3">
                  <c:v>2.4</c:v>
                </c:pt>
                <c:pt idx="4">
                  <c:v>8.8000000000000007</c:v>
                </c:pt>
                <c:pt idx="5">
                  <c:v>11.3</c:v>
                </c:pt>
              </c:numCache>
            </c:numRef>
          </c:val>
          <c:extLst>
            <c:ext xmlns:c16="http://schemas.microsoft.com/office/drawing/2014/chart" uri="{C3380CC4-5D6E-409C-BE32-E72D297353CC}">
              <c16:uniqueId val="{00000000-EE02-4753-9B22-196D77849427}"/>
            </c:ext>
          </c:extLst>
        </c:ser>
        <c:ser>
          <c:idx val="1"/>
          <c:order val="1"/>
          <c:tx>
            <c:strRef>
              <c:f>'[6]2.10'!$B$75</c:f>
              <c:strCache>
                <c:ptCount val="1"/>
                <c:pt idx="0">
                  <c:v>Dundee City</c:v>
                </c:pt>
              </c:strCache>
            </c:strRef>
          </c:tx>
          <c:spPr>
            <a:solidFill>
              <a:schemeClr val="accent2"/>
            </a:solidFill>
            <a:ln>
              <a:noFill/>
            </a:ln>
            <a:effectLst/>
          </c:spPr>
          <c:invertIfNegative val="0"/>
          <c:cat>
            <c:multiLvlStrRef>
              <c:f>'[6]2.10'!$C$72:$H$73</c:f>
              <c:multiLvlStrCache>
                <c:ptCount val="6"/>
                <c:lvl>
                  <c:pt idx="0">
                    <c:v>Public</c:v>
                  </c:pt>
                  <c:pt idx="1">
                    <c:v>Private</c:v>
                  </c:pt>
                  <c:pt idx="2">
                    <c:v>All</c:v>
                  </c:pt>
                  <c:pt idx="3">
                    <c:v>Public</c:v>
                  </c:pt>
                  <c:pt idx="4">
                    <c:v>Private</c:v>
                  </c:pt>
                  <c:pt idx="5">
                    <c:v>All</c:v>
                  </c:pt>
                </c:lvl>
                <c:lvl>
                  <c:pt idx="0">
                    <c:v>Full time employees</c:v>
                  </c:pt>
                  <c:pt idx="3">
                    <c:v>Part time employees</c:v>
                  </c:pt>
                </c:lvl>
              </c:multiLvlStrCache>
            </c:multiLvlStrRef>
          </c:cat>
          <c:val>
            <c:numRef>
              <c:f>'[6]2.10'!$C$75:$H$75</c:f>
              <c:numCache>
                <c:formatCode>General</c:formatCode>
                <c:ptCount val="6"/>
                <c:pt idx="0">
                  <c:v>15.5</c:v>
                </c:pt>
                <c:pt idx="1">
                  <c:v>31.4</c:v>
                </c:pt>
                <c:pt idx="2">
                  <c:v>47</c:v>
                </c:pt>
                <c:pt idx="3">
                  <c:v>8.3000000000000007</c:v>
                </c:pt>
                <c:pt idx="4">
                  <c:v>18.8</c:v>
                </c:pt>
                <c:pt idx="5">
                  <c:v>27.1</c:v>
                </c:pt>
              </c:numCache>
            </c:numRef>
          </c:val>
          <c:extLst>
            <c:ext xmlns:c16="http://schemas.microsoft.com/office/drawing/2014/chart" uri="{C3380CC4-5D6E-409C-BE32-E72D297353CC}">
              <c16:uniqueId val="{00000001-EE02-4753-9B22-196D77849427}"/>
            </c:ext>
          </c:extLst>
        </c:ser>
        <c:ser>
          <c:idx val="2"/>
          <c:order val="2"/>
          <c:tx>
            <c:strRef>
              <c:f>'[6]2.10'!$B$76</c:f>
              <c:strCache>
                <c:ptCount val="1"/>
                <c:pt idx="0">
                  <c:v>Fife</c:v>
                </c:pt>
              </c:strCache>
            </c:strRef>
          </c:tx>
          <c:spPr>
            <a:solidFill>
              <a:schemeClr val="accent3"/>
            </a:solidFill>
            <a:ln>
              <a:noFill/>
            </a:ln>
            <a:effectLst/>
          </c:spPr>
          <c:invertIfNegative val="0"/>
          <c:cat>
            <c:multiLvlStrRef>
              <c:f>'[6]2.10'!$C$72:$H$73</c:f>
              <c:multiLvlStrCache>
                <c:ptCount val="6"/>
                <c:lvl>
                  <c:pt idx="0">
                    <c:v>Public</c:v>
                  </c:pt>
                  <c:pt idx="1">
                    <c:v>Private</c:v>
                  </c:pt>
                  <c:pt idx="2">
                    <c:v>All</c:v>
                  </c:pt>
                  <c:pt idx="3">
                    <c:v>Public</c:v>
                  </c:pt>
                  <c:pt idx="4">
                    <c:v>Private</c:v>
                  </c:pt>
                  <c:pt idx="5">
                    <c:v>All</c:v>
                  </c:pt>
                </c:lvl>
                <c:lvl>
                  <c:pt idx="0">
                    <c:v>Full time employees</c:v>
                  </c:pt>
                  <c:pt idx="3">
                    <c:v>Part time employees</c:v>
                  </c:pt>
                </c:lvl>
              </c:multiLvlStrCache>
            </c:multiLvlStrRef>
          </c:cat>
          <c:val>
            <c:numRef>
              <c:f>'[6]2.10'!$C$76:$H$76</c:f>
              <c:numCache>
                <c:formatCode>General</c:formatCode>
                <c:ptCount val="6"/>
                <c:pt idx="0">
                  <c:v>19.8</c:v>
                </c:pt>
                <c:pt idx="1">
                  <c:v>67</c:v>
                </c:pt>
                <c:pt idx="2">
                  <c:v>86.8</c:v>
                </c:pt>
                <c:pt idx="3">
                  <c:v>12.3</c:v>
                </c:pt>
                <c:pt idx="4">
                  <c:v>31.2</c:v>
                </c:pt>
                <c:pt idx="5">
                  <c:v>43.6</c:v>
                </c:pt>
              </c:numCache>
            </c:numRef>
          </c:val>
          <c:extLst>
            <c:ext xmlns:c16="http://schemas.microsoft.com/office/drawing/2014/chart" uri="{C3380CC4-5D6E-409C-BE32-E72D297353CC}">
              <c16:uniqueId val="{00000002-EE02-4753-9B22-196D77849427}"/>
            </c:ext>
          </c:extLst>
        </c:ser>
        <c:ser>
          <c:idx val="3"/>
          <c:order val="3"/>
          <c:tx>
            <c:strRef>
              <c:f>'[6]2.10'!$B$77</c:f>
              <c:strCache>
                <c:ptCount val="1"/>
                <c:pt idx="0">
                  <c:v>Perth &amp; Kinross</c:v>
                </c:pt>
              </c:strCache>
            </c:strRef>
          </c:tx>
          <c:spPr>
            <a:solidFill>
              <a:schemeClr val="accent4"/>
            </a:solidFill>
            <a:ln>
              <a:noFill/>
            </a:ln>
            <a:effectLst/>
          </c:spPr>
          <c:invertIfNegative val="0"/>
          <c:cat>
            <c:multiLvlStrRef>
              <c:f>'[6]2.10'!$C$72:$H$73</c:f>
              <c:multiLvlStrCache>
                <c:ptCount val="6"/>
                <c:lvl>
                  <c:pt idx="0">
                    <c:v>Public</c:v>
                  </c:pt>
                  <c:pt idx="1">
                    <c:v>Private</c:v>
                  </c:pt>
                  <c:pt idx="2">
                    <c:v>All</c:v>
                  </c:pt>
                  <c:pt idx="3">
                    <c:v>Public</c:v>
                  </c:pt>
                  <c:pt idx="4">
                    <c:v>Private</c:v>
                  </c:pt>
                  <c:pt idx="5">
                    <c:v>All</c:v>
                  </c:pt>
                </c:lvl>
                <c:lvl>
                  <c:pt idx="0">
                    <c:v>Full time employees</c:v>
                  </c:pt>
                  <c:pt idx="3">
                    <c:v>Part time employees</c:v>
                  </c:pt>
                </c:lvl>
              </c:multiLvlStrCache>
            </c:multiLvlStrRef>
          </c:cat>
          <c:val>
            <c:numRef>
              <c:f>'[6]2.10'!$C$77:$H$77</c:f>
              <c:numCache>
                <c:formatCode>General</c:formatCode>
                <c:ptCount val="6"/>
                <c:pt idx="0">
                  <c:v>7.6</c:v>
                </c:pt>
                <c:pt idx="1">
                  <c:v>33.299999999999997</c:v>
                </c:pt>
                <c:pt idx="2">
                  <c:v>40.799999999999997</c:v>
                </c:pt>
                <c:pt idx="3">
                  <c:v>3.5</c:v>
                </c:pt>
                <c:pt idx="4">
                  <c:v>16.899999999999999</c:v>
                </c:pt>
                <c:pt idx="5">
                  <c:v>20.399999999999999</c:v>
                </c:pt>
              </c:numCache>
            </c:numRef>
          </c:val>
          <c:extLst>
            <c:ext xmlns:c16="http://schemas.microsoft.com/office/drawing/2014/chart" uri="{C3380CC4-5D6E-409C-BE32-E72D297353CC}">
              <c16:uniqueId val="{00000003-EE02-4753-9B22-196D77849427}"/>
            </c:ext>
          </c:extLst>
        </c:ser>
        <c:dLbls>
          <c:showLegendKey val="0"/>
          <c:showVal val="0"/>
          <c:showCatName val="0"/>
          <c:showSerName val="0"/>
          <c:showPercent val="0"/>
          <c:showBubbleSize val="0"/>
        </c:dLbls>
        <c:gapWidth val="182"/>
        <c:axId val="517599056"/>
        <c:axId val="517600368"/>
      </c:barChart>
      <c:catAx>
        <c:axId val="51759905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7600368"/>
        <c:crosses val="autoZero"/>
        <c:auto val="1"/>
        <c:lblAlgn val="ctr"/>
        <c:lblOffset val="100"/>
        <c:noMultiLvlLbl val="0"/>
      </c:catAx>
      <c:valAx>
        <c:axId val="51760036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75990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Number of VAT and/or PAYE based enterprises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'[6]2.10'!$B$83</c:f>
              <c:strCache>
                <c:ptCount val="1"/>
                <c:pt idx="0">
                  <c:v>Angus</c:v>
                </c:pt>
              </c:strCache>
            </c:strRef>
          </c:tx>
          <c:spPr>
            <a:solidFill>
              <a:schemeClr val="accent1"/>
            </a:solidFill>
            <a:ln>
              <a:noFill/>
            </a:ln>
            <a:effectLst/>
          </c:spPr>
          <c:invertIfNegative val="0"/>
          <c:cat>
            <c:strRef>
              <c:f>'[6]2.10'!$C$82:$S$82</c:f>
              <c:strCache>
                <c:ptCount val="17"/>
                <c:pt idx="0">
                  <c:v>01-03 : Agriculture,forestry &amp; fishing</c:v>
                </c:pt>
                <c:pt idx="1">
                  <c:v>05-39 : Production</c:v>
                </c:pt>
                <c:pt idx="2">
                  <c:v>41-43 : Construction</c:v>
                </c:pt>
                <c:pt idx="3">
                  <c:v>45 : Motor trades</c:v>
                </c:pt>
                <c:pt idx="4">
                  <c:v>46 : Wholesale</c:v>
                </c:pt>
                <c:pt idx="5">
                  <c:v>47 : Retail</c:v>
                </c:pt>
                <c:pt idx="6">
                  <c:v>49-53 : Transport &amp; Storage (inc postal)</c:v>
                </c:pt>
                <c:pt idx="7">
                  <c:v>55-56 : Accommodation &amp; food services</c:v>
                </c:pt>
                <c:pt idx="8">
                  <c:v>58-63 : Information &amp; communication</c:v>
                </c:pt>
                <c:pt idx="9">
                  <c:v>64-66 : Finance &amp; insurance</c:v>
                </c:pt>
                <c:pt idx="10">
                  <c:v>68 : Property</c:v>
                </c:pt>
                <c:pt idx="11">
                  <c:v>69-75 : Professional, scientific &amp; technical</c:v>
                </c:pt>
                <c:pt idx="12">
                  <c:v>77-82 : Business administration &amp; support services</c:v>
                </c:pt>
                <c:pt idx="13">
                  <c:v>84 : Public administration &amp; defence</c:v>
                </c:pt>
                <c:pt idx="14">
                  <c:v>85 : Education</c:v>
                </c:pt>
                <c:pt idx="15">
                  <c:v>86-88 : Health</c:v>
                </c:pt>
                <c:pt idx="16">
                  <c:v>90-99 : Arts, entertainment, recreation &amp; other services</c:v>
                </c:pt>
              </c:strCache>
            </c:strRef>
          </c:cat>
          <c:val>
            <c:numRef>
              <c:f>'[6]2.10'!$C$83:$S$83</c:f>
              <c:numCache>
                <c:formatCode>General</c:formatCode>
                <c:ptCount val="17"/>
                <c:pt idx="0">
                  <c:v>680</c:v>
                </c:pt>
                <c:pt idx="1">
                  <c:v>270</c:v>
                </c:pt>
                <c:pt idx="2">
                  <c:v>495</c:v>
                </c:pt>
                <c:pt idx="3">
                  <c:v>110</c:v>
                </c:pt>
                <c:pt idx="4">
                  <c:v>120</c:v>
                </c:pt>
                <c:pt idx="5">
                  <c:v>280</c:v>
                </c:pt>
                <c:pt idx="6">
                  <c:v>130</c:v>
                </c:pt>
                <c:pt idx="7">
                  <c:v>310</c:v>
                </c:pt>
                <c:pt idx="8">
                  <c:v>75</c:v>
                </c:pt>
                <c:pt idx="9">
                  <c:v>30</c:v>
                </c:pt>
                <c:pt idx="10">
                  <c:v>105</c:v>
                </c:pt>
                <c:pt idx="11">
                  <c:v>670</c:v>
                </c:pt>
                <c:pt idx="12">
                  <c:v>240</c:v>
                </c:pt>
                <c:pt idx="13">
                  <c:v>0</c:v>
                </c:pt>
                <c:pt idx="14">
                  <c:v>35</c:v>
                </c:pt>
                <c:pt idx="15">
                  <c:v>130</c:v>
                </c:pt>
                <c:pt idx="16">
                  <c:v>255</c:v>
                </c:pt>
              </c:numCache>
            </c:numRef>
          </c:val>
          <c:extLst>
            <c:ext xmlns:c16="http://schemas.microsoft.com/office/drawing/2014/chart" uri="{C3380CC4-5D6E-409C-BE32-E72D297353CC}">
              <c16:uniqueId val="{00000000-0E21-4875-9398-964AD02E98C1}"/>
            </c:ext>
          </c:extLst>
        </c:ser>
        <c:ser>
          <c:idx val="1"/>
          <c:order val="1"/>
          <c:tx>
            <c:strRef>
              <c:f>'[6]2.10'!$B$84</c:f>
              <c:strCache>
                <c:ptCount val="1"/>
                <c:pt idx="0">
                  <c:v>Dundee City</c:v>
                </c:pt>
              </c:strCache>
            </c:strRef>
          </c:tx>
          <c:spPr>
            <a:solidFill>
              <a:schemeClr val="accent2"/>
            </a:solidFill>
            <a:ln>
              <a:noFill/>
            </a:ln>
            <a:effectLst/>
          </c:spPr>
          <c:invertIfNegative val="0"/>
          <c:cat>
            <c:strRef>
              <c:f>'[6]2.10'!$C$82:$S$82</c:f>
              <c:strCache>
                <c:ptCount val="17"/>
                <c:pt idx="0">
                  <c:v>01-03 : Agriculture,forestry &amp; fishing</c:v>
                </c:pt>
                <c:pt idx="1">
                  <c:v>05-39 : Production</c:v>
                </c:pt>
                <c:pt idx="2">
                  <c:v>41-43 : Construction</c:v>
                </c:pt>
                <c:pt idx="3">
                  <c:v>45 : Motor trades</c:v>
                </c:pt>
                <c:pt idx="4">
                  <c:v>46 : Wholesale</c:v>
                </c:pt>
                <c:pt idx="5">
                  <c:v>47 : Retail</c:v>
                </c:pt>
                <c:pt idx="6">
                  <c:v>49-53 : Transport &amp; Storage (inc postal)</c:v>
                </c:pt>
                <c:pt idx="7">
                  <c:v>55-56 : Accommodation &amp; food services</c:v>
                </c:pt>
                <c:pt idx="8">
                  <c:v>58-63 : Information &amp; communication</c:v>
                </c:pt>
                <c:pt idx="9">
                  <c:v>64-66 : Finance &amp; insurance</c:v>
                </c:pt>
                <c:pt idx="10">
                  <c:v>68 : Property</c:v>
                </c:pt>
                <c:pt idx="11">
                  <c:v>69-75 : Professional, scientific &amp; technical</c:v>
                </c:pt>
                <c:pt idx="12">
                  <c:v>77-82 : Business administration &amp; support services</c:v>
                </c:pt>
                <c:pt idx="13">
                  <c:v>84 : Public administration &amp; defence</c:v>
                </c:pt>
                <c:pt idx="14">
                  <c:v>85 : Education</c:v>
                </c:pt>
                <c:pt idx="15">
                  <c:v>86-88 : Health</c:v>
                </c:pt>
                <c:pt idx="16">
                  <c:v>90-99 : Arts, entertainment, recreation &amp; other services</c:v>
                </c:pt>
              </c:strCache>
            </c:strRef>
          </c:cat>
          <c:val>
            <c:numRef>
              <c:f>'[6]2.10'!$C$84:$S$84</c:f>
              <c:numCache>
                <c:formatCode>General</c:formatCode>
                <c:ptCount val="17"/>
                <c:pt idx="0">
                  <c:v>20</c:v>
                </c:pt>
                <c:pt idx="1">
                  <c:v>195</c:v>
                </c:pt>
                <c:pt idx="2">
                  <c:v>460</c:v>
                </c:pt>
                <c:pt idx="3">
                  <c:v>135</c:v>
                </c:pt>
                <c:pt idx="4">
                  <c:v>110</c:v>
                </c:pt>
                <c:pt idx="5">
                  <c:v>335</c:v>
                </c:pt>
                <c:pt idx="6">
                  <c:v>110</c:v>
                </c:pt>
                <c:pt idx="7">
                  <c:v>365</c:v>
                </c:pt>
                <c:pt idx="8">
                  <c:v>150</c:v>
                </c:pt>
                <c:pt idx="9">
                  <c:v>70</c:v>
                </c:pt>
                <c:pt idx="10">
                  <c:v>170</c:v>
                </c:pt>
                <c:pt idx="11">
                  <c:v>460</c:v>
                </c:pt>
                <c:pt idx="12">
                  <c:v>240</c:v>
                </c:pt>
                <c:pt idx="13">
                  <c:v>5</c:v>
                </c:pt>
                <c:pt idx="14">
                  <c:v>50</c:v>
                </c:pt>
                <c:pt idx="15">
                  <c:v>185</c:v>
                </c:pt>
                <c:pt idx="16">
                  <c:v>320</c:v>
                </c:pt>
              </c:numCache>
            </c:numRef>
          </c:val>
          <c:extLst>
            <c:ext xmlns:c16="http://schemas.microsoft.com/office/drawing/2014/chart" uri="{C3380CC4-5D6E-409C-BE32-E72D297353CC}">
              <c16:uniqueId val="{00000001-0E21-4875-9398-964AD02E98C1}"/>
            </c:ext>
          </c:extLst>
        </c:ser>
        <c:ser>
          <c:idx val="2"/>
          <c:order val="2"/>
          <c:tx>
            <c:strRef>
              <c:f>'[6]2.10'!$B$85</c:f>
              <c:strCache>
                <c:ptCount val="1"/>
                <c:pt idx="0">
                  <c:v>Fife</c:v>
                </c:pt>
              </c:strCache>
            </c:strRef>
          </c:tx>
          <c:spPr>
            <a:solidFill>
              <a:schemeClr val="accent3"/>
            </a:solidFill>
            <a:ln>
              <a:noFill/>
            </a:ln>
            <a:effectLst/>
          </c:spPr>
          <c:invertIfNegative val="0"/>
          <c:cat>
            <c:strRef>
              <c:f>'[6]2.10'!$C$82:$S$82</c:f>
              <c:strCache>
                <c:ptCount val="17"/>
                <c:pt idx="0">
                  <c:v>01-03 : Agriculture,forestry &amp; fishing</c:v>
                </c:pt>
                <c:pt idx="1">
                  <c:v>05-39 : Production</c:v>
                </c:pt>
                <c:pt idx="2">
                  <c:v>41-43 : Construction</c:v>
                </c:pt>
                <c:pt idx="3">
                  <c:v>45 : Motor trades</c:v>
                </c:pt>
                <c:pt idx="4">
                  <c:v>46 : Wholesale</c:v>
                </c:pt>
                <c:pt idx="5">
                  <c:v>47 : Retail</c:v>
                </c:pt>
                <c:pt idx="6">
                  <c:v>49-53 : Transport &amp; Storage (inc postal)</c:v>
                </c:pt>
                <c:pt idx="7">
                  <c:v>55-56 : Accommodation &amp; food services</c:v>
                </c:pt>
                <c:pt idx="8">
                  <c:v>58-63 : Information &amp; communication</c:v>
                </c:pt>
                <c:pt idx="9">
                  <c:v>64-66 : Finance &amp; insurance</c:v>
                </c:pt>
                <c:pt idx="10">
                  <c:v>68 : Property</c:v>
                </c:pt>
                <c:pt idx="11">
                  <c:v>69-75 : Professional, scientific &amp; technical</c:v>
                </c:pt>
                <c:pt idx="12">
                  <c:v>77-82 : Business administration &amp; support services</c:v>
                </c:pt>
                <c:pt idx="13">
                  <c:v>84 : Public administration &amp; defence</c:v>
                </c:pt>
                <c:pt idx="14">
                  <c:v>85 : Education</c:v>
                </c:pt>
                <c:pt idx="15">
                  <c:v>86-88 : Health</c:v>
                </c:pt>
                <c:pt idx="16">
                  <c:v>90-99 : Arts, entertainment, recreation &amp; other services</c:v>
                </c:pt>
              </c:strCache>
            </c:strRef>
          </c:cat>
          <c:val>
            <c:numRef>
              <c:f>'[6]2.10'!$C$85:$S$85</c:f>
              <c:numCache>
                <c:formatCode>General</c:formatCode>
                <c:ptCount val="17"/>
                <c:pt idx="0">
                  <c:v>630</c:v>
                </c:pt>
                <c:pt idx="1">
                  <c:v>865</c:v>
                </c:pt>
                <c:pt idx="2">
                  <c:v>1305</c:v>
                </c:pt>
                <c:pt idx="3">
                  <c:v>315</c:v>
                </c:pt>
                <c:pt idx="4">
                  <c:v>280</c:v>
                </c:pt>
                <c:pt idx="5">
                  <c:v>765</c:v>
                </c:pt>
                <c:pt idx="6">
                  <c:v>470</c:v>
                </c:pt>
                <c:pt idx="7">
                  <c:v>810</c:v>
                </c:pt>
                <c:pt idx="8">
                  <c:v>530</c:v>
                </c:pt>
                <c:pt idx="9">
                  <c:v>125</c:v>
                </c:pt>
                <c:pt idx="10">
                  <c:v>270</c:v>
                </c:pt>
                <c:pt idx="11">
                  <c:v>1595</c:v>
                </c:pt>
                <c:pt idx="12">
                  <c:v>755</c:v>
                </c:pt>
                <c:pt idx="13">
                  <c:v>5</c:v>
                </c:pt>
                <c:pt idx="14">
                  <c:v>95</c:v>
                </c:pt>
                <c:pt idx="15">
                  <c:v>335</c:v>
                </c:pt>
                <c:pt idx="16">
                  <c:v>750</c:v>
                </c:pt>
              </c:numCache>
            </c:numRef>
          </c:val>
          <c:extLst>
            <c:ext xmlns:c16="http://schemas.microsoft.com/office/drawing/2014/chart" uri="{C3380CC4-5D6E-409C-BE32-E72D297353CC}">
              <c16:uniqueId val="{00000002-0E21-4875-9398-964AD02E98C1}"/>
            </c:ext>
          </c:extLst>
        </c:ser>
        <c:ser>
          <c:idx val="3"/>
          <c:order val="3"/>
          <c:tx>
            <c:strRef>
              <c:f>'[6]2.10'!$B$86</c:f>
              <c:strCache>
                <c:ptCount val="1"/>
                <c:pt idx="0">
                  <c:v>Perth and Kinross</c:v>
                </c:pt>
              </c:strCache>
            </c:strRef>
          </c:tx>
          <c:spPr>
            <a:solidFill>
              <a:schemeClr val="accent4"/>
            </a:solidFill>
            <a:ln>
              <a:noFill/>
            </a:ln>
            <a:effectLst/>
          </c:spPr>
          <c:invertIfNegative val="0"/>
          <c:cat>
            <c:strRef>
              <c:f>'[6]2.10'!$C$82:$S$82</c:f>
              <c:strCache>
                <c:ptCount val="17"/>
                <c:pt idx="0">
                  <c:v>01-03 : Agriculture,forestry &amp; fishing</c:v>
                </c:pt>
                <c:pt idx="1">
                  <c:v>05-39 : Production</c:v>
                </c:pt>
                <c:pt idx="2">
                  <c:v>41-43 : Construction</c:v>
                </c:pt>
                <c:pt idx="3">
                  <c:v>45 : Motor trades</c:v>
                </c:pt>
                <c:pt idx="4">
                  <c:v>46 : Wholesale</c:v>
                </c:pt>
                <c:pt idx="5">
                  <c:v>47 : Retail</c:v>
                </c:pt>
                <c:pt idx="6">
                  <c:v>49-53 : Transport &amp; Storage (inc postal)</c:v>
                </c:pt>
                <c:pt idx="7">
                  <c:v>55-56 : Accommodation &amp; food services</c:v>
                </c:pt>
                <c:pt idx="8">
                  <c:v>58-63 : Information &amp; communication</c:v>
                </c:pt>
                <c:pt idx="9">
                  <c:v>64-66 : Finance &amp; insurance</c:v>
                </c:pt>
                <c:pt idx="10">
                  <c:v>68 : Property</c:v>
                </c:pt>
                <c:pt idx="11">
                  <c:v>69-75 : Professional, scientific &amp; technical</c:v>
                </c:pt>
                <c:pt idx="12">
                  <c:v>77-82 : Business administration &amp; support services</c:v>
                </c:pt>
                <c:pt idx="13">
                  <c:v>84 : Public administration &amp; defence</c:v>
                </c:pt>
                <c:pt idx="14">
                  <c:v>85 : Education</c:v>
                </c:pt>
                <c:pt idx="15">
                  <c:v>86-88 : Health</c:v>
                </c:pt>
                <c:pt idx="16">
                  <c:v>90-99 : Arts, entertainment, recreation &amp; other services</c:v>
                </c:pt>
              </c:strCache>
            </c:strRef>
          </c:cat>
          <c:val>
            <c:numRef>
              <c:f>'[6]2.10'!$C$86:$S$86</c:f>
              <c:numCache>
                <c:formatCode>General</c:formatCode>
                <c:ptCount val="17"/>
                <c:pt idx="0">
                  <c:v>935</c:v>
                </c:pt>
                <c:pt idx="1">
                  <c:v>360</c:v>
                </c:pt>
                <c:pt idx="2">
                  <c:v>760</c:v>
                </c:pt>
                <c:pt idx="3">
                  <c:v>180</c:v>
                </c:pt>
                <c:pt idx="4">
                  <c:v>200</c:v>
                </c:pt>
                <c:pt idx="5">
                  <c:v>410</c:v>
                </c:pt>
                <c:pt idx="6">
                  <c:v>145</c:v>
                </c:pt>
                <c:pt idx="7">
                  <c:v>535</c:v>
                </c:pt>
                <c:pt idx="8">
                  <c:v>255</c:v>
                </c:pt>
                <c:pt idx="9">
                  <c:v>85</c:v>
                </c:pt>
                <c:pt idx="10">
                  <c:v>210</c:v>
                </c:pt>
                <c:pt idx="11">
                  <c:v>860</c:v>
                </c:pt>
                <c:pt idx="12">
                  <c:v>455</c:v>
                </c:pt>
                <c:pt idx="13">
                  <c:v>0</c:v>
                </c:pt>
                <c:pt idx="14">
                  <c:v>70</c:v>
                </c:pt>
                <c:pt idx="15">
                  <c:v>190</c:v>
                </c:pt>
                <c:pt idx="16">
                  <c:v>465</c:v>
                </c:pt>
              </c:numCache>
            </c:numRef>
          </c:val>
          <c:extLst>
            <c:ext xmlns:c16="http://schemas.microsoft.com/office/drawing/2014/chart" uri="{C3380CC4-5D6E-409C-BE32-E72D297353CC}">
              <c16:uniqueId val="{00000003-0E21-4875-9398-964AD02E98C1}"/>
            </c:ext>
          </c:extLst>
        </c:ser>
        <c:dLbls>
          <c:showLegendKey val="0"/>
          <c:showVal val="0"/>
          <c:showCatName val="0"/>
          <c:showSerName val="0"/>
          <c:showPercent val="0"/>
          <c:showBubbleSize val="0"/>
        </c:dLbls>
        <c:gapWidth val="182"/>
        <c:axId val="529144544"/>
        <c:axId val="529143888"/>
      </c:barChart>
      <c:catAx>
        <c:axId val="52914454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9143888"/>
        <c:crosses val="autoZero"/>
        <c:auto val="1"/>
        <c:lblAlgn val="ctr"/>
        <c:lblOffset val="100"/>
        <c:noMultiLvlLbl val="0"/>
      </c:catAx>
      <c:valAx>
        <c:axId val="529143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91445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Employment</a:t>
            </a:r>
            <a:r>
              <a:rPr lang="en-GB" baseline="0"/>
              <a:t> Rate Change Since 2009 (%)</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'[6]2.10'!$B$94</c:f>
              <c:strCache>
                <c:ptCount val="1"/>
                <c:pt idx="0">
                  <c:v>Angus</c:v>
                </c:pt>
              </c:strCache>
            </c:strRef>
          </c:tx>
          <c:spPr>
            <a:solidFill>
              <a:schemeClr val="accent1"/>
            </a:solidFill>
            <a:ln>
              <a:noFill/>
            </a:ln>
            <a:effectLst/>
          </c:spPr>
          <c:invertIfNegative val="0"/>
          <c:cat>
            <c:strRef>
              <c:f>'[6]2.10'!$T$92:$T$97</c:f>
              <c:strCache>
                <c:ptCount val="6"/>
                <c:pt idx="0">
                  <c:v>Change since 2009</c:v>
                </c:pt>
                <c:pt idx="1">
                  <c:v>Rate  (%pts)</c:v>
                </c:pt>
                <c:pt idx="2">
                  <c:v>1.4</c:v>
                </c:pt>
                <c:pt idx="3">
                  <c:v>0.4</c:v>
                </c:pt>
                <c:pt idx="4">
                  <c:v>2.5</c:v>
                </c:pt>
                <c:pt idx="5">
                  <c:v>8</c:v>
                </c:pt>
              </c:strCache>
            </c:strRef>
          </c:cat>
          <c:val>
            <c:numRef>
              <c:f>'[6]2.10'!$T$94</c:f>
              <c:numCache>
                <c:formatCode>General</c:formatCode>
                <c:ptCount val="1"/>
                <c:pt idx="0">
                  <c:v>1.4</c:v>
                </c:pt>
              </c:numCache>
            </c:numRef>
          </c:val>
          <c:extLst>
            <c:ext xmlns:c16="http://schemas.microsoft.com/office/drawing/2014/chart" uri="{C3380CC4-5D6E-409C-BE32-E72D297353CC}">
              <c16:uniqueId val="{00000000-D520-4AC7-B026-9C99E3E8CF3D}"/>
            </c:ext>
          </c:extLst>
        </c:ser>
        <c:ser>
          <c:idx val="1"/>
          <c:order val="1"/>
          <c:tx>
            <c:strRef>
              <c:f>'[6]2.10'!$B$95</c:f>
              <c:strCache>
                <c:ptCount val="1"/>
                <c:pt idx="0">
                  <c:v>Dundee City</c:v>
                </c:pt>
              </c:strCache>
            </c:strRef>
          </c:tx>
          <c:spPr>
            <a:solidFill>
              <a:schemeClr val="accent2"/>
            </a:solidFill>
            <a:ln>
              <a:noFill/>
            </a:ln>
            <a:effectLst/>
          </c:spPr>
          <c:invertIfNegative val="0"/>
          <c:cat>
            <c:strRef>
              <c:f>'[6]2.10'!$T$92:$T$97</c:f>
              <c:strCache>
                <c:ptCount val="6"/>
                <c:pt idx="0">
                  <c:v>Change since 2009</c:v>
                </c:pt>
                <c:pt idx="1">
                  <c:v>Rate  (%pts)</c:v>
                </c:pt>
                <c:pt idx="2">
                  <c:v>1.4</c:v>
                </c:pt>
                <c:pt idx="3">
                  <c:v>0.4</c:v>
                </c:pt>
                <c:pt idx="4">
                  <c:v>2.5</c:v>
                </c:pt>
                <c:pt idx="5">
                  <c:v>8</c:v>
                </c:pt>
              </c:strCache>
            </c:strRef>
          </c:cat>
          <c:val>
            <c:numRef>
              <c:f>'[6]2.10'!$T$95</c:f>
              <c:numCache>
                <c:formatCode>General</c:formatCode>
                <c:ptCount val="1"/>
                <c:pt idx="0">
                  <c:v>0.4</c:v>
                </c:pt>
              </c:numCache>
            </c:numRef>
          </c:val>
          <c:extLst>
            <c:ext xmlns:c16="http://schemas.microsoft.com/office/drawing/2014/chart" uri="{C3380CC4-5D6E-409C-BE32-E72D297353CC}">
              <c16:uniqueId val="{00000001-D520-4AC7-B026-9C99E3E8CF3D}"/>
            </c:ext>
          </c:extLst>
        </c:ser>
        <c:ser>
          <c:idx val="2"/>
          <c:order val="2"/>
          <c:tx>
            <c:strRef>
              <c:f>'[6]2.10'!$B$96</c:f>
              <c:strCache>
                <c:ptCount val="1"/>
                <c:pt idx="0">
                  <c:v>Fife</c:v>
                </c:pt>
              </c:strCache>
            </c:strRef>
          </c:tx>
          <c:spPr>
            <a:solidFill>
              <a:schemeClr val="accent3"/>
            </a:solidFill>
            <a:ln>
              <a:noFill/>
            </a:ln>
            <a:effectLst/>
          </c:spPr>
          <c:invertIfNegative val="0"/>
          <c:cat>
            <c:strRef>
              <c:f>'[6]2.10'!$T$92:$T$97</c:f>
              <c:strCache>
                <c:ptCount val="6"/>
                <c:pt idx="0">
                  <c:v>Change since 2009</c:v>
                </c:pt>
                <c:pt idx="1">
                  <c:v>Rate  (%pts)</c:v>
                </c:pt>
                <c:pt idx="2">
                  <c:v>1.4</c:v>
                </c:pt>
                <c:pt idx="3">
                  <c:v>0.4</c:v>
                </c:pt>
                <c:pt idx="4">
                  <c:v>2.5</c:v>
                </c:pt>
                <c:pt idx="5">
                  <c:v>8</c:v>
                </c:pt>
              </c:strCache>
            </c:strRef>
          </c:cat>
          <c:val>
            <c:numRef>
              <c:f>'[6]2.10'!$T$96</c:f>
              <c:numCache>
                <c:formatCode>General</c:formatCode>
                <c:ptCount val="1"/>
                <c:pt idx="0">
                  <c:v>2.5</c:v>
                </c:pt>
              </c:numCache>
            </c:numRef>
          </c:val>
          <c:extLst>
            <c:ext xmlns:c16="http://schemas.microsoft.com/office/drawing/2014/chart" uri="{C3380CC4-5D6E-409C-BE32-E72D297353CC}">
              <c16:uniqueId val="{00000002-D520-4AC7-B026-9C99E3E8CF3D}"/>
            </c:ext>
          </c:extLst>
        </c:ser>
        <c:ser>
          <c:idx val="3"/>
          <c:order val="3"/>
          <c:tx>
            <c:strRef>
              <c:f>'[6]2.10'!$B$97</c:f>
              <c:strCache>
                <c:ptCount val="1"/>
                <c:pt idx="0">
                  <c:v>Perth &amp; Kinross</c:v>
                </c:pt>
              </c:strCache>
            </c:strRef>
          </c:tx>
          <c:spPr>
            <a:solidFill>
              <a:schemeClr val="accent4"/>
            </a:solidFill>
            <a:ln>
              <a:noFill/>
            </a:ln>
            <a:effectLst/>
          </c:spPr>
          <c:invertIfNegative val="0"/>
          <c:cat>
            <c:strRef>
              <c:f>'[6]2.10'!$T$92:$T$97</c:f>
              <c:strCache>
                <c:ptCount val="6"/>
                <c:pt idx="0">
                  <c:v>Change since 2009</c:v>
                </c:pt>
                <c:pt idx="1">
                  <c:v>Rate  (%pts)</c:v>
                </c:pt>
                <c:pt idx="2">
                  <c:v>1.4</c:v>
                </c:pt>
                <c:pt idx="3">
                  <c:v>0.4</c:v>
                </c:pt>
                <c:pt idx="4">
                  <c:v>2.5</c:v>
                </c:pt>
                <c:pt idx="5">
                  <c:v>8</c:v>
                </c:pt>
              </c:strCache>
            </c:strRef>
          </c:cat>
          <c:val>
            <c:numRef>
              <c:f>'[6]2.10'!$T$97</c:f>
              <c:numCache>
                <c:formatCode>General</c:formatCode>
                <c:ptCount val="1"/>
                <c:pt idx="0">
                  <c:v>8</c:v>
                </c:pt>
              </c:numCache>
            </c:numRef>
          </c:val>
          <c:extLst>
            <c:ext xmlns:c16="http://schemas.microsoft.com/office/drawing/2014/chart" uri="{C3380CC4-5D6E-409C-BE32-E72D297353CC}">
              <c16:uniqueId val="{00000003-D520-4AC7-B026-9C99E3E8CF3D}"/>
            </c:ext>
          </c:extLst>
        </c:ser>
        <c:dLbls>
          <c:showLegendKey val="0"/>
          <c:showVal val="0"/>
          <c:showCatName val="0"/>
          <c:showSerName val="0"/>
          <c:showPercent val="0"/>
          <c:showBubbleSize val="0"/>
        </c:dLbls>
        <c:gapWidth val="219"/>
        <c:overlap val="-27"/>
        <c:axId val="587369280"/>
        <c:axId val="587368952"/>
      </c:barChart>
      <c:catAx>
        <c:axId val="587369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7368952"/>
        <c:crosses val="autoZero"/>
        <c:auto val="1"/>
        <c:lblAlgn val="ctr"/>
        <c:lblOffset val="100"/>
        <c:noMultiLvlLbl val="0"/>
      </c:catAx>
      <c:valAx>
        <c:axId val="5873689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7369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Economic</a:t>
            </a:r>
            <a:r>
              <a:rPr lang="en-GB" baseline="0"/>
              <a:t> Inactivity Rate Change Since 2009 (%)</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'[6]2.10'!$B$103</c:f>
              <c:strCache>
                <c:ptCount val="1"/>
                <c:pt idx="0">
                  <c:v>Angus</c:v>
                </c:pt>
              </c:strCache>
            </c:strRef>
          </c:tx>
          <c:spPr>
            <a:solidFill>
              <a:schemeClr val="accent1"/>
            </a:solidFill>
            <a:ln>
              <a:noFill/>
            </a:ln>
            <a:effectLst/>
          </c:spPr>
          <c:invertIfNegative val="0"/>
          <c:cat>
            <c:strRef>
              <c:f>'[6]2.10'!$T$101:$T$106</c:f>
              <c:strCache>
                <c:ptCount val="6"/>
                <c:pt idx="0">
                  <c:v>Change since 2009</c:v>
                </c:pt>
                <c:pt idx="1">
                  <c:v>Rate  (%pts)</c:v>
                </c:pt>
                <c:pt idx="2">
                  <c:v>1.4</c:v>
                </c:pt>
                <c:pt idx="3">
                  <c:v>1.5</c:v>
                </c:pt>
                <c:pt idx="4">
                  <c:v>1.6</c:v>
                </c:pt>
                <c:pt idx="5">
                  <c:v>-6.8</c:v>
                </c:pt>
              </c:strCache>
            </c:strRef>
          </c:cat>
          <c:val>
            <c:numRef>
              <c:f>'[6]2.10'!$T$103</c:f>
              <c:numCache>
                <c:formatCode>General</c:formatCode>
                <c:ptCount val="1"/>
                <c:pt idx="0">
                  <c:v>1.4</c:v>
                </c:pt>
              </c:numCache>
            </c:numRef>
          </c:val>
          <c:extLst>
            <c:ext xmlns:c16="http://schemas.microsoft.com/office/drawing/2014/chart" uri="{C3380CC4-5D6E-409C-BE32-E72D297353CC}">
              <c16:uniqueId val="{00000000-C76E-4918-B5C1-EE7264AD7A79}"/>
            </c:ext>
          </c:extLst>
        </c:ser>
        <c:ser>
          <c:idx val="1"/>
          <c:order val="1"/>
          <c:tx>
            <c:strRef>
              <c:f>'[6]2.10'!$B$104</c:f>
              <c:strCache>
                <c:ptCount val="1"/>
                <c:pt idx="0">
                  <c:v>Dundee City</c:v>
                </c:pt>
              </c:strCache>
            </c:strRef>
          </c:tx>
          <c:spPr>
            <a:solidFill>
              <a:schemeClr val="accent2"/>
            </a:solidFill>
            <a:ln>
              <a:noFill/>
            </a:ln>
            <a:effectLst/>
          </c:spPr>
          <c:invertIfNegative val="0"/>
          <c:cat>
            <c:strRef>
              <c:f>'[6]2.10'!$T$101:$T$106</c:f>
              <c:strCache>
                <c:ptCount val="6"/>
                <c:pt idx="0">
                  <c:v>Change since 2009</c:v>
                </c:pt>
                <c:pt idx="1">
                  <c:v>Rate  (%pts)</c:v>
                </c:pt>
                <c:pt idx="2">
                  <c:v>1.4</c:v>
                </c:pt>
                <c:pt idx="3">
                  <c:v>1.5</c:v>
                </c:pt>
                <c:pt idx="4">
                  <c:v>1.6</c:v>
                </c:pt>
                <c:pt idx="5">
                  <c:v>-6.8</c:v>
                </c:pt>
              </c:strCache>
            </c:strRef>
          </c:cat>
          <c:val>
            <c:numRef>
              <c:f>'[6]2.10'!$T$104</c:f>
              <c:numCache>
                <c:formatCode>General</c:formatCode>
                <c:ptCount val="1"/>
                <c:pt idx="0">
                  <c:v>1.5</c:v>
                </c:pt>
              </c:numCache>
            </c:numRef>
          </c:val>
          <c:extLst>
            <c:ext xmlns:c16="http://schemas.microsoft.com/office/drawing/2014/chart" uri="{C3380CC4-5D6E-409C-BE32-E72D297353CC}">
              <c16:uniqueId val="{00000001-C76E-4918-B5C1-EE7264AD7A79}"/>
            </c:ext>
          </c:extLst>
        </c:ser>
        <c:ser>
          <c:idx val="2"/>
          <c:order val="2"/>
          <c:tx>
            <c:strRef>
              <c:f>'[6]2.10'!$B$105</c:f>
              <c:strCache>
                <c:ptCount val="1"/>
                <c:pt idx="0">
                  <c:v>Fife</c:v>
                </c:pt>
              </c:strCache>
            </c:strRef>
          </c:tx>
          <c:spPr>
            <a:solidFill>
              <a:schemeClr val="accent3"/>
            </a:solidFill>
            <a:ln>
              <a:noFill/>
            </a:ln>
            <a:effectLst/>
          </c:spPr>
          <c:invertIfNegative val="0"/>
          <c:cat>
            <c:strRef>
              <c:f>'[6]2.10'!$T$101:$T$106</c:f>
              <c:strCache>
                <c:ptCount val="6"/>
                <c:pt idx="0">
                  <c:v>Change since 2009</c:v>
                </c:pt>
                <c:pt idx="1">
                  <c:v>Rate  (%pts)</c:v>
                </c:pt>
                <c:pt idx="2">
                  <c:v>1.4</c:v>
                </c:pt>
                <c:pt idx="3">
                  <c:v>1.5</c:v>
                </c:pt>
                <c:pt idx="4">
                  <c:v>1.6</c:v>
                </c:pt>
                <c:pt idx="5">
                  <c:v>-6.8</c:v>
                </c:pt>
              </c:strCache>
            </c:strRef>
          </c:cat>
          <c:val>
            <c:numRef>
              <c:f>'[6]2.10'!$T$105</c:f>
              <c:numCache>
                <c:formatCode>General</c:formatCode>
                <c:ptCount val="1"/>
                <c:pt idx="0">
                  <c:v>1.6</c:v>
                </c:pt>
              </c:numCache>
            </c:numRef>
          </c:val>
          <c:extLst>
            <c:ext xmlns:c16="http://schemas.microsoft.com/office/drawing/2014/chart" uri="{C3380CC4-5D6E-409C-BE32-E72D297353CC}">
              <c16:uniqueId val="{00000002-C76E-4918-B5C1-EE7264AD7A79}"/>
            </c:ext>
          </c:extLst>
        </c:ser>
        <c:ser>
          <c:idx val="3"/>
          <c:order val="3"/>
          <c:tx>
            <c:strRef>
              <c:f>'[6]2.10'!$B$106</c:f>
              <c:strCache>
                <c:ptCount val="1"/>
                <c:pt idx="0">
                  <c:v>Perth &amp; Kinross</c:v>
                </c:pt>
              </c:strCache>
            </c:strRef>
          </c:tx>
          <c:spPr>
            <a:solidFill>
              <a:schemeClr val="accent4"/>
            </a:solidFill>
            <a:ln>
              <a:noFill/>
            </a:ln>
            <a:effectLst/>
          </c:spPr>
          <c:invertIfNegative val="0"/>
          <c:cat>
            <c:strRef>
              <c:f>'[6]2.10'!$T$101:$T$106</c:f>
              <c:strCache>
                <c:ptCount val="6"/>
                <c:pt idx="0">
                  <c:v>Change since 2009</c:v>
                </c:pt>
                <c:pt idx="1">
                  <c:v>Rate  (%pts)</c:v>
                </c:pt>
                <c:pt idx="2">
                  <c:v>1.4</c:v>
                </c:pt>
                <c:pt idx="3">
                  <c:v>1.5</c:v>
                </c:pt>
                <c:pt idx="4">
                  <c:v>1.6</c:v>
                </c:pt>
                <c:pt idx="5">
                  <c:v>-6.8</c:v>
                </c:pt>
              </c:strCache>
            </c:strRef>
          </c:cat>
          <c:val>
            <c:numRef>
              <c:f>'[6]2.10'!$T$106</c:f>
              <c:numCache>
                <c:formatCode>General</c:formatCode>
                <c:ptCount val="1"/>
                <c:pt idx="0">
                  <c:v>-6.8</c:v>
                </c:pt>
              </c:numCache>
            </c:numRef>
          </c:val>
          <c:extLst>
            <c:ext xmlns:c16="http://schemas.microsoft.com/office/drawing/2014/chart" uri="{C3380CC4-5D6E-409C-BE32-E72D297353CC}">
              <c16:uniqueId val="{00000003-C76E-4918-B5C1-EE7264AD7A79}"/>
            </c:ext>
          </c:extLst>
        </c:ser>
        <c:dLbls>
          <c:showLegendKey val="0"/>
          <c:showVal val="0"/>
          <c:showCatName val="0"/>
          <c:showSerName val="0"/>
          <c:showPercent val="0"/>
          <c:showBubbleSize val="0"/>
        </c:dLbls>
        <c:gapWidth val="219"/>
        <c:overlap val="-27"/>
        <c:axId val="570845872"/>
        <c:axId val="570853088"/>
      </c:barChart>
      <c:catAx>
        <c:axId val="570845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0853088"/>
        <c:crosses val="autoZero"/>
        <c:auto val="1"/>
        <c:lblAlgn val="ctr"/>
        <c:lblOffset val="100"/>
        <c:noMultiLvlLbl val="0"/>
      </c:catAx>
      <c:valAx>
        <c:axId val="5708530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08458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Female Employment Rate Change Since</a:t>
            </a:r>
            <a:r>
              <a:rPr lang="en-GB" baseline="0"/>
              <a:t> 2009 (%)</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'[6]2.10'!$B$112</c:f>
              <c:strCache>
                <c:ptCount val="1"/>
                <c:pt idx="0">
                  <c:v>Angus</c:v>
                </c:pt>
              </c:strCache>
            </c:strRef>
          </c:tx>
          <c:spPr>
            <a:solidFill>
              <a:schemeClr val="accent1"/>
            </a:solidFill>
            <a:ln>
              <a:noFill/>
            </a:ln>
            <a:effectLst/>
          </c:spPr>
          <c:invertIfNegative val="0"/>
          <c:cat>
            <c:strRef>
              <c:f>'[6]2.10'!$T$110:$T$115</c:f>
              <c:strCache>
                <c:ptCount val="6"/>
                <c:pt idx="0">
                  <c:v>Change since 2009</c:v>
                </c:pt>
                <c:pt idx="1">
                  <c:v>Rate  (%pts)</c:v>
                </c:pt>
                <c:pt idx="2">
                  <c:v>1.6</c:v>
                </c:pt>
                <c:pt idx="3">
                  <c:v>2.7</c:v>
                </c:pt>
                <c:pt idx="4">
                  <c:v>3.7</c:v>
                </c:pt>
                <c:pt idx="5">
                  <c:v>5.8</c:v>
                </c:pt>
              </c:strCache>
            </c:strRef>
          </c:cat>
          <c:val>
            <c:numRef>
              <c:f>'[6]2.10'!$T$112</c:f>
              <c:numCache>
                <c:formatCode>General</c:formatCode>
                <c:ptCount val="1"/>
                <c:pt idx="0">
                  <c:v>1.6</c:v>
                </c:pt>
              </c:numCache>
            </c:numRef>
          </c:val>
          <c:extLst>
            <c:ext xmlns:c16="http://schemas.microsoft.com/office/drawing/2014/chart" uri="{C3380CC4-5D6E-409C-BE32-E72D297353CC}">
              <c16:uniqueId val="{00000000-DFA7-4122-94E4-6C6EF6FBA106}"/>
            </c:ext>
          </c:extLst>
        </c:ser>
        <c:ser>
          <c:idx val="1"/>
          <c:order val="1"/>
          <c:tx>
            <c:strRef>
              <c:f>'[6]2.10'!$B$113</c:f>
              <c:strCache>
                <c:ptCount val="1"/>
                <c:pt idx="0">
                  <c:v>Dundee City</c:v>
                </c:pt>
              </c:strCache>
            </c:strRef>
          </c:tx>
          <c:spPr>
            <a:solidFill>
              <a:schemeClr val="accent2"/>
            </a:solidFill>
            <a:ln>
              <a:noFill/>
            </a:ln>
            <a:effectLst/>
          </c:spPr>
          <c:invertIfNegative val="0"/>
          <c:cat>
            <c:strRef>
              <c:f>'[6]2.10'!$T$110:$T$115</c:f>
              <c:strCache>
                <c:ptCount val="6"/>
                <c:pt idx="0">
                  <c:v>Change since 2009</c:v>
                </c:pt>
                <c:pt idx="1">
                  <c:v>Rate  (%pts)</c:v>
                </c:pt>
                <c:pt idx="2">
                  <c:v>1.6</c:v>
                </c:pt>
                <c:pt idx="3">
                  <c:v>2.7</c:v>
                </c:pt>
                <c:pt idx="4">
                  <c:v>3.7</c:v>
                </c:pt>
                <c:pt idx="5">
                  <c:v>5.8</c:v>
                </c:pt>
              </c:strCache>
            </c:strRef>
          </c:cat>
          <c:val>
            <c:numRef>
              <c:f>'[6]2.10'!$T$113</c:f>
              <c:numCache>
                <c:formatCode>General</c:formatCode>
                <c:ptCount val="1"/>
                <c:pt idx="0">
                  <c:v>2.7</c:v>
                </c:pt>
              </c:numCache>
            </c:numRef>
          </c:val>
          <c:extLst>
            <c:ext xmlns:c16="http://schemas.microsoft.com/office/drawing/2014/chart" uri="{C3380CC4-5D6E-409C-BE32-E72D297353CC}">
              <c16:uniqueId val="{00000001-DFA7-4122-94E4-6C6EF6FBA106}"/>
            </c:ext>
          </c:extLst>
        </c:ser>
        <c:ser>
          <c:idx val="2"/>
          <c:order val="2"/>
          <c:tx>
            <c:strRef>
              <c:f>'[6]2.10'!$B$114</c:f>
              <c:strCache>
                <c:ptCount val="1"/>
                <c:pt idx="0">
                  <c:v>Fife</c:v>
                </c:pt>
              </c:strCache>
            </c:strRef>
          </c:tx>
          <c:spPr>
            <a:solidFill>
              <a:schemeClr val="accent3"/>
            </a:solidFill>
            <a:ln>
              <a:noFill/>
            </a:ln>
            <a:effectLst/>
          </c:spPr>
          <c:invertIfNegative val="0"/>
          <c:cat>
            <c:strRef>
              <c:f>'[6]2.10'!$T$110:$T$115</c:f>
              <c:strCache>
                <c:ptCount val="6"/>
                <c:pt idx="0">
                  <c:v>Change since 2009</c:v>
                </c:pt>
                <c:pt idx="1">
                  <c:v>Rate  (%pts)</c:v>
                </c:pt>
                <c:pt idx="2">
                  <c:v>1.6</c:v>
                </c:pt>
                <c:pt idx="3">
                  <c:v>2.7</c:v>
                </c:pt>
                <c:pt idx="4">
                  <c:v>3.7</c:v>
                </c:pt>
                <c:pt idx="5">
                  <c:v>5.8</c:v>
                </c:pt>
              </c:strCache>
            </c:strRef>
          </c:cat>
          <c:val>
            <c:numRef>
              <c:f>'[6]2.10'!$T$114</c:f>
              <c:numCache>
                <c:formatCode>General</c:formatCode>
                <c:ptCount val="1"/>
                <c:pt idx="0">
                  <c:v>3.7</c:v>
                </c:pt>
              </c:numCache>
            </c:numRef>
          </c:val>
          <c:extLst>
            <c:ext xmlns:c16="http://schemas.microsoft.com/office/drawing/2014/chart" uri="{C3380CC4-5D6E-409C-BE32-E72D297353CC}">
              <c16:uniqueId val="{00000002-DFA7-4122-94E4-6C6EF6FBA106}"/>
            </c:ext>
          </c:extLst>
        </c:ser>
        <c:ser>
          <c:idx val="3"/>
          <c:order val="3"/>
          <c:tx>
            <c:strRef>
              <c:f>'[6]2.10'!$B$115</c:f>
              <c:strCache>
                <c:ptCount val="1"/>
                <c:pt idx="0">
                  <c:v>Perth &amp; Kinross</c:v>
                </c:pt>
              </c:strCache>
            </c:strRef>
          </c:tx>
          <c:spPr>
            <a:solidFill>
              <a:schemeClr val="accent4"/>
            </a:solidFill>
            <a:ln>
              <a:noFill/>
            </a:ln>
            <a:effectLst/>
          </c:spPr>
          <c:invertIfNegative val="0"/>
          <c:cat>
            <c:strRef>
              <c:f>'[6]2.10'!$T$110:$T$115</c:f>
              <c:strCache>
                <c:ptCount val="6"/>
                <c:pt idx="0">
                  <c:v>Change since 2009</c:v>
                </c:pt>
                <c:pt idx="1">
                  <c:v>Rate  (%pts)</c:v>
                </c:pt>
                <c:pt idx="2">
                  <c:v>1.6</c:v>
                </c:pt>
                <c:pt idx="3">
                  <c:v>2.7</c:v>
                </c:pt>
                <c:pt idx="4">
                  <c:v>3.7</c:v>
                </c:pt>
                <c:pt idx="5">
                  <c:v>5.8</c:v>
                </c:pt>
              </c:strCache>
            </c:strRef>
          </c:cat>
          <c:val>
            <c:numRef>
              <c:f>'[6]2.10'!$T$115</c:f>
              <c:numCache>
                <c:formatCode>General</c:formatCode>
                <c:ptCount val="1"/>
                <c:pt idx="0">
                  <c:v>5.8</c:v>
                </c:pt>
              </c:numCache>
            </c:numRef>
          </c:val>
          <c:extLst>
            <c:ext xmlns:c16="http://schemas.microsoft.com/office/drawing/2014/chart" uri="{C3380CC4-5D6E-409C-BE32-E72D297353CC}">
              <c16:uniqueId val="{00000003-DFA7-4122-94E4-6C6EF6FBA106}"/>
            </c:ext>
          </c:extLst>
        </c:ser>
        <c:dLbls>
          <c:showLegendKey val="0"/>
          <c:showVal val="0"/>
          <c:showCatName val="0"/>
          <c:showSerName val="0"/>
          <c:showPercent val="0"/>
          <c:showBubbleSize val="0"/>
        </c:dLbls>
        <c:gapWidth val="219"/>
        <c:overlap val="-27"/>
        <c:axId val="669397600"/>
        <c:axId val="669394976"/>
      </c:barChart>
      <c:catAx>
        <c:axId val="669397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9394976"/>
        <c:crosses val="autoZero"/>
        <c:auto val="1"/>
        <c:lblAlgn val="ctr"/>
        <c:lblOffset val="100"/>
        <c:noMultiLvlLbl val="0"/>
      </c:catAx>
      <c:valAx>
        <c:axId val="6693949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93976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GB" sz="1400" b="0" i="0" baseline="0">
                <a:effectLst/>
              </a:rPr>
              <a:t>Male Employment Rate Change Since 2009 (%)</a:t>
            </a:r>
            <a:endParaRPr lang="en-GB" sz="11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clustered"/>
        <c:varyColors val="0"/>
        <c:ser>
          <c:idx val="0"/>
          <c:order val="0"/>
          <c:tx>
            <c:strRef>
              <c:f>'[6]2.10'!$B$121</c:f>
              <c:strCache>
                <c:ptCount val="1"/>
                <c:pt idx="0">
                  <c:v>Angus</c:v>
                </c:pt>
              </c:strCache>
            </c:strRef>
          </c:tx>
          <c:spPr>
            <a:solidFill>
              <a:schemeClr val="accent1"/>
            </a:solidFill>
            <a:ln>
              <a:noFill/>
            </a:ln>
            <a:effectLst/>
          </c:spPr>
          <c:invertIfNegative val="0"/>
          <c:cat>
            <c:strRef>
              <c:f>'[6]2.10'!$T$119:$T$124</c:f>
              <c:strCache>
                <c:ptCount val="6"/>
                <c:pt idx="0">
                  <c:v>Change since 2009</c:v>
                </c:pt>
                <c:pt idx="1">
                  <c:v>Rate  (%pts)</c:v>
                </c:pt>
                <c:pt idx="2">
                  <c:v>1.2</c:v>
                </c:pt>
                <c:pt idx="3">
                  <c:v>-2.2</c:v>
                </c:pt>
                <c:pt idx="4">
                  <c:v>1.3</c:v>
                </c:pt>
                <c:pt idx="5">
                  <c:v>10.3</c:v>
                </c:pt>
              </c:strCache>
            </c:strRef>
          </c:cat>
          <c:val>
            <c:numRef>
              <c:f>'[6]2.10'!$T$121</c:f>
              <c:numCache>
                <c:formatCode>General</c:formatCode>
                <c:ptCount val="1"/>
                <c:pt idx="0">
                  <c:v>1.2</c:v>
                </c:pt>
              </c:numCache>
            </c:numRef>
          </c:val>
          <c:extLst>
            <c:ext xmlns:c16="http://schemas.microsoft.com/office/drawing/2014/chart" uri="{C3380CC4-5D6E-409C-BE32-E72D297353CC}">
              <c16:uniqueId val="{00000000-1CC2-466E-A0FA-3DFBEB254E08}"/>
            </c:ext>
          </c:extLst>
        </c:ser>
        <c:ser>
          <c:idx val="1"/>
          <c:order val="1"/>
          <c:tx>
            <c:strRef>
              <c:f>'[6]2.10'!$B$122</c:f>
              <c:strCache>
                <c:ptCount val="1"/>
                <c:pt idx="0">
                  <c:v>Dundee City</c:v>
                </c:pt>
              </c:strCache>
            </c:strRef>
          </c:tx>
          <c:spPr>
            <a:solidFill>
              <a:schemeClr val="accent2"/>
            </a:solidFill>
            <a:ln>
              <a:noFill/>
            </a:ln>
            <a:effectLst/>
          </c:spPr>
          <c:invertIfNegative val="0"/>
          <c:cat>
            <c:strRef>
              <c:f>'[6]2.10'!$T$119:$T$124</c:f>
              <c:strCache>
                <c:ptCount val="6"/>
                <c:pt idx="0">
                  <c:v>Change since 2009</c:v>
                </c:pt>
                <c:pt idx="1">
                  <c:v>Rate  (%pts)</c:v>
                </c:pt>
                <c:pt idx="2">
                  <c:v>1.2</c:v>
                </c:pt>
                <c:pt idx="3">
                  <c:v>-2.2</c:v>
                </c:pt>
                <c:pt idx="4">
                  <c:v>1.3</c:v>
                </c:pt>
                <c:pt idx="5">
                  <c:v>10.3</c:v>
                </c:pt>
              </c:strCache>
            </c:strRef>
          </c:cat>
          <c:val>
            <c:numRef>
              <c:f>'[6]2.10'!$T$122</c:f>
              <c:numCache>
                <c:formatCode>General</c:formatCode>
                <c:ptCount val="1"/>
                <c:pt idx="0">
                  <c:v>-2.2000000000000002</c:v>
                </c:pt>
              </c:numCache>
            </c:numRef>
          </c:val>
          <c:extLst>
            <c:ext xmlns:c16="http://schemas.microsoft.com/office/drawing/2014/chart" uri="{C3380CC4-5D6E-409C-BE32-E72D297353CC}">
              <c16:uniqueId val="{00000001-1CC2-466E-A0FA-3DFBEB254E08}"/>
            </c:ext>
          </c:extLst>
        </c:ser>
        <c:ser>
          <c:idx val="2"/>
          <c:order val="2"/>
          <c:tx>
            <c:strRef>
              <c:f>'[6]2.10'!$B$123</c:f>
              <c:strCache>
                <c:ptCount val="1"/>
                <c:pt idx="0">
                  <c:v>Fife</c:v>
                </c:pt>
              </c:strCache>
            </c:strRef>
          </c:tx>
          <c:spPr>
            <a:solidFill>
              <a:schemeClr val="accent3"/>
            </a:solidFill>
            <a:ln>
              <a:noFill/>
            </a:ln>
            <a:effectLst/>
          </c:spPr>
          <c:invertIfNegative val="0"/>
          <c:cat>
            <c:strRef>
              <c:f>'[6]2.10'!$T$119:$T$124</c:f>
              <c:strCache>
                <c:ptCount val="6"/>
                <c:pt idx="0">
                  <c:v>Change since 2009</c:v>
                </c:pt>
                <c:pt idx="1">
                  <c:v>Rate  (%pts)</c:v>
                </c:pt>
                <c:pt idx="2">
                  <c:v>1.2</c:v>
                </c:pt>
                <c:pt idx="3">
                  <c:v>-2.2</c:v>
                </c:pt>
                <c:pt idx="4">
                  <c:v>1.3</c:v>
                </c:pt>
                <c:pt idx="5">
                  <c:v>10.3</c:v>
                </c:pt>
              </c:strCache>
            </c:strRef>
          </c:cat>
          <c:val>
            <c:numRef>
              <c:f>'[6]2.10'!$T$123</c:f>
              <c:numCache>
                <c:formatCode>General</c:formatCode>
                <c:ptCount val="1"/>
                <c:pt idx="0">
                  <c:v>1.3</c:v>
                </c:pt>
              </c:numCache>
            </c:numRef>
          </c:val>
          <c:extLst>
            <c:ext xmlns:c16="http://schemas.microsoft.com/office/drawing/2014/chart" uri="{C3380CC4-5D6E-409C-BE32-E72D297353CC}">
              <c16:uniqueId val="{00000002-1CC2-466E-A0FA-3DFBEB254E08}"/>
            </c:ext>
          </c:extLst>
        </c:ser>
        <c:ser>
          <c:idx val="3"/>
          <c:order val="3"/>
          <c:tx>
            <c:strRef>
              <c:f>'[6]2.10'!$B$124</c:f>
              <c:strCache>
                <c:ptCount val="1"/>
                <c:pt idx="0">
                  <c:v>Perth &amp; Kinross</c:v>
                </c:pt>
              </c:strCache>
            </c:strRef>
          </c:tx>
          <c:spPr>
            <a:solidFill>
              <a:schemeClr val="accent4"/>
            </a:solidFill>
            <a:ln>
              <a:noFill/>
            </a:ln>
            <a:effectLst/>
          </c:spPr>
          <c:invertIfNegative val="0"/>
          <c:cat>
            <c:strRef>
              <c:f>'[6]2.10'!$T$119:$T$124</c:f>
              <c:strCache>
                <c:ptCount val="6"/>
                <c:pt idx="0">
                  <c:v>Change since 2009</c:v>
                </c:pt>
                <c:pt idx="1">
                  <c:v>Rate  (%pts)</c:v>
                </c:pt>
                <c:pt idx="2">
                  <c:v>1.2</c:v>
                </c:pt>
                <c:pt idx="3">
                  <c:v>-2.2</c:v>
                </c:pt>
                <c:pt idx="4">
                  <c:v>1.3</c:v>
                </c:pt>
                <c:pt idx="5">
                  <c:v>10.3</c:v>
                </c:pt>
              </c:strCache>
            </c:strRef>
          </c:cat>
          <c:val>
            <c:numRef>
              <c:f>'[6]2.10'!$T$124</c:f>
              <c:numCache>
                <c:formatCode>General</c:formatCode>
                <c:ptCount val="1"/>
                <c:pt idx="0">
                  <c:v>10.3</c:v>
                </c:pt>
              </c:numCache>
            </c:numRef>
          </c:val>
          <c:extLst>
            <c:ext xmlns:c16="http://schemas.microsoft.com/office/drawing/2014/chart" uri="{C3380CC4-5D6E-409C-BE32-E72D297353CC}">
              <c16:uniqueId val="{00000003-1CC2-466E-A0FA-3DFBEB254E08}"/>
            </c:ext>
          </c:extLst>
        </c:ser>
        <c:dLbls>
          <c:showLegendKey val="0"/>
          <c:showVal val="0"/>
          <c:showCatName val="0"/>
          <c:showSerName val="0"/>
          <c:showPercent val="0"/>
          <c:showBubbleSize val="0"/>
        </c:dLbls>
        <c:gapWidth val="219"/>
        <c:overlap val="-27"/>
        <c:axId val="723065888"/>
        <c:axId val="723071792"/>
      </c:barChart>
      <c:catAx>
        <c:axId val="723065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071792"/>
        <c:crosses val="autoZero"/>
        <c:auto val="1"/>
        <c:lblAlgn val="ctr"/>
        <c:lblOffset val="100"/>
        <c:noMultiLvlLbl val="0"/>
      </c:catAx>
      <c:valAx>
        <c:axId val="7230717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0658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16-24</a:t>
            </a:r>
            <a:r>
              <a:rPr lang="en-GB" baseline="0"/>
              <a:t> Year Olds Employment Rate Change Since 2009 (%)</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'[6]2.10'!$B$130</c:f>
              <c:strCache>
                <c:ptCount val="1"/>
                <c:pt idx="0">
                  <c:v>Angus</c:v>
                </c:pt>
              </c:strCache>
            </c:strRef>
          </c:tx>
          <c:spPr>
            <a:solidFill>
              <a:schemeClr val="accent1"/>
            </a:solidFill>
            <a:ln>
              <a:noFill/>
            </a:ln>
            <a:effectLst/>
          </c:spPr>
          <c:invertIfNegative val="0"/>
          <c:cat>
            <c:strRef>
              <c:f>'[6]2.10'!$T$128:$T$133</c:f>
              <c:strCache>
                <c:ptCount val="6"/>
                <c:pt idx="0">
                  <c:v>Change since 2009</c:v>
                </c:pt>
                <c:pt idx="1">
                  <c:v>Rate  (%pts)</c:v>
                </c:pt>
                <c:pt idx="2">
                  <c:v>-6.3</c:v>
                </c:pt>
                <c:pt idx="3">
                  <c:v>5.5</c:v>
                </c:pt>
                <c:pt idx="4">
                  <c:v>3.1</c:v>
                </c:pt>
                <c:pt idx="5">
                  <c:v>10.5</c:v>
                </c:pt>
              </c:strCache>
            </c:strRef>
          </c:cat>
          <c:val>
            <c:numRef>
              <c:f>'[6]2.10'!$T$130</c:f>
              <c:numCache>
                <c:formatCode>General</c:formatCode>
                <c:ptCount val="1"/>
                <c:pt idx="0">
                  <c:v>-6.3</c:v>
                </c:pt>
              </c:numCache>
            </c:numRef>
          </c:val>
          <c:extLst>
            <c:ext xmlns:c16="http://schemas.microsoft.com/office/drawing/2014/chart" uri="{C3380CC4-5D6E-409C-BE32-E72D297353CC}">
              <c16:uniqueId val="{00000000-9CB8-4360-9A58-637A1631815C}"/>
            </c:ext>
          </c:extLst>
        </c:ser>
        <c:ser>
          <c:idx val="1"/>
          <c:order val="1"/>
          <c:tx>
            <c:strRef>
              <c:f>'[6]2.10'!$B$131</c:f>
              <c:strCache>
                <c:ptCount val="1"/>
                <c:pt idx="0">
                  <c:v>Dundee City</c:v>
                </c:pt>
              </c:strCache>
            </c:strRef>
          </c:tx>
          <c:spPr>
            <a:solidFill>
              <a:schemeClr val="accent2"/>
            </a:solidFill>
            <a:ln>
              <a:noFill/>
            </a:ln>
            <a:effectLst/>
          </c:spPr>
          <c:invertIfNegative val="0"/>
          <c:cat>
            <c:strRef>
              <c:f>'[6]2.10'!$T$128:$T$133</c:f>
              <c:strCache>
                <c:ptCount val="6"/>
                <c:pt idx="0">
                  <c:v>Change since 2009</c:v>
                </c:pt>
                <c:pt idx="1">
                  <c:v>Rate  (%pts)</c:v>
                </c:pt>
                <c:pt idx="2">
                  <c:v>-6.3</c:v>
                </c:pt>
                <c:pt idx="3">
                  <c:v>5.5</c:v>
                </c:pt>
                <c:pt idx="4">
                  <c:v>3.1</c:v>
                </c:pt>
                <c:pt idx="5">
                  <c:v>10.5</c:v>
                </c:pt>
              </c:strCache>
            </c:strRef>
          </c:cat>
          <c:val>
            <c:numRef>
              <c:f>'[6]2.10'!$T$131</c:f>
              <c:numCache>
                <c:formatCode>General</c:formatCode>
                <c:ptCount val="1"/>
                <c:pt idx="0">
                  <c:v>5.5</c:v>
                </c:pt>
              </c:numCache>
            </c:numRef>
          </c:val>
          <c:extLst>
            <c:ext xmlns:c16="http://schemas.microsoft.com/office/drawing/2014/chart" uri="{C3380CC4-5D6E-409C-BE32-E72D297353CC}">
              <c16:uniqueId val="{00000001-9CB8-4360-9A58-637A1631815C}"/>
            </c:ext>
          </c:extLst>
        </c:ser>
        <c:ser>
          <c:idx val="2"/>
          <c:order val="2"/>
          <c:tx>
            <c:strRef>
              <c:f>'[6]2.10'!$B$132</c:f>
              <c:strCache>
                <c:ptCount val="1"/>
                <c:pt idx="0">
                  <c:v>Fife</c:v>
                </c:pt>
              </c:strCache>
            </c:strRef>
          </c:tx>
          <c:spPr>
            <a:solidFill>
              <a:schemeClr val="accent3"/>
            </a:solidFill>
            <a:ln>
              <a:noFill/>
            </a:ln>
            <a:effectLst/>
          </c:spPr>
          <c:invertIfNegative val="0"/>
          <c:cat>
            <c:strRef>
              <c:f>'[6]2.10'!$T$128:$T$133</c:f>
              <c:strCache>
                <c:ptCount val="6"/>
                <c:pt idx="0">
                  <c:v>Change since 2009</c:v>
                </c:pt>
                <c:pt idx="1">
                  <c:v>Rate  (%pts)</c:v>
                </c:pt>
                <c:pt idx="2">
                  <c:v>-6.3</c:v>
                </c:pt>
                <c:pt idx="3">
                  <c:v>5.5</c:v>
                </c:pt>
                <c:pt idx="4">
                  <c:v>3.1</c:v>
                </c:pt>
                <c:pt idx="5">
                  <c:v>10.5</c:v>
                </c:pt>
              </c:strCache>
            </c:strRef>
          </c:cat>
          <c:val>
            <c:numRef>
              <c:f>'[6]2.10'!$T$132</c:f>
              <c:numCache>
                <c:formatCode>General</c:formatCode>
                <c:ptCount val="1"/>
                <c:pt idx="0">
                  <c:v>3.1</c:v>
                </c:pt>
              </c:numCache>
            </c:numRef>
          </c:val>
          <c:extLst>
            <c:ext xmlns:c16="http://schemas.microsoft.com/office/drawing/2014/chart" uri="{C3380CC4-5D6E-409C-BE32-E72D297353CC}">
              <c16:uniqueId val="{00000002-9CB8-4360-9A58-637A1631815C}"/>
            </c:ext>
          </c:extLst>
        </c:ser>
        <c:ser>
          <c:idx val="3"/>
          <c:order val="3"/>
          <c:tx>
            <c:strRef>
              <c:f>'[6]2.10'!$B$133</c:f>
              <c:strCache>
                <c:ptCount val="1"/>
                <c:pt idx="0">
                  <c:v>Perth &amp; Kinross</c:v>
                </c:pt>
              </c:strCache>
            </c:strRef>
          </c:tx>
          <c:spPr>
            <a:solidFill>
              <a:schemeClr val="accent4"/>
            </a:solidFill>
            <a:ln>
              <a:noFill/>
            </a:ln>
            <a:effectLst/>
          </c:spPr>
          <c:invertIfNegative val="0"/>
          <c:cat>
            <c:strRef>
              <c:f>'[6]2.10'!$T$128:$T$133</c:f>
              <c:strCache>
                <c:ptCount val="6"/>
                <c:pt idx="0">
                  <c:v>Change since 2009</c:v>
                </c:pt>
                <c:pt idx="1">
                  <c:v>Rate  (%pts)</c:v>
                </c:pt>
                <c:pt idx="2">
                  <c:v>-6.3</c:v>
                </c:pt>
                <c:pt idx="3">
                  <c:v>5.5</c:v>
                </c:pt>
                <c:pt idx="4">
                  <c:v>3.1</c:v>
                </c:pt>
                <c:pt idx="5">
                  <c:v>10.5</c:v>
                </c:pt>
              </c:strCache>
            </c:strRef>
          </c:cat>
          <c:val>
            <c:numRef>
              <c:f>'[6]2.10'!$T$133</c:f>
              <c:numCache>
                <c:formatCode>General</c:formatCode>
                <c:ptCount val="1"/>
                <c:pt idx="0">
                  <c:v>10.5</c:v>
                </c:pt>
              </c:numCache>
            </c:numRef>
          </c:val>
          <c:extLst>
            <c:ext xmlns:c16="http://schemas.microsoft.com/office/drawing/2014/chart" uri="{C3380CC4-5D6E-409C-BE32-E72D297353CC}">
              <c16:uniqueId val="{00000003-9CB8-4360-9A58-637A1631815C}"/>
            </c:ext>
          </c:extLst>
        </c:ser>
        <c:dLbls>
          <c:showLegendKey val="0"/>
          <c:showVal val="0"/>
          <c:showCatName val="0"/>
          <c:showSerName val="0"/>
          <c:showPercent val="0"/>
          <c:showBubbleSize val="0"/>
        </c:dLbls>
        <c:gapWidth val="219"/>
        <c:overlap val="-27"/>
        <c:axId val="669401536"/>
        <c:axId val="669401864"/>
      </c:barChart>
      <c:catAx>
        <c:axId val="669401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9401864"/>
        <c:crosses val="autoZero"/>
        <c:auto val="1"/>
        <c:lblAlgn val="ctr"/>
        <c:lblOffset val="100"/>
        <c:noMultiLvlLbl val="0"/>
      </c:catAx>
      <c:valAx>
        <c:axId val="6694018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9401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Claimant</a:t>
            </a:r>
            <a:r>
              <a:rPr lang="en-GB" baseline="0"/>
              <a:t> Count Percentage of Pop Oct 2020</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'[6]2.10'!$B$141</c:f>
              <c:strCache>
                <c:ptCount val="1"/>
                <c:pt idx="0">
                  <c:v>SCOTLAND</c:v>
                </c:pt>
              </c:strCache>
            </c:strRef>
          </c:tx>
          <c:spPr>
            <a:solidFill>
              <a:schemeClr val="accent1"/>
            </a:solidFill>
            <a:ln>
              <a:noFill/>
            </a:ln>
            <a:effectLst/>
          </c:spPr>
          <c:invertIfNegative val="0"/>
          <c:cat>
            <c:multiLvlStrRef>
              <c:f>'[6]2.10'!$F$139:$H$140</c:f>
              <c:multiLvlStrCache>
                <c:ptCount val="3"/>
                <c:lvl>
                  <c:pt idx="0">
                    <c:v>Men</c:v>
                  </c:pt>
                  <c:pt idx="1">
                    <c:v>Women</c:v>
                  </c:pt>
                  <c:pt idx="2">
                    <c:v>People</c:v>
                  </c:pt>
                </c:lvl>
                <c:lvl>
                  <c:pt idx="0">
                    <c:v>Percentage of Pop</c:v>
                  </c:pt>
                </c:lvl>
              </c:multiLvlStrCache>
            </c:multiLvlStrRef>
          </c:cat>
          <c:val>
            <c:numRef>
              <c:f>'[6]2.10'!$F$141:$H$141</c:f>
              <c:numCache>
                <c:formatCode>General</c:formatCode>
                <c:ptCount val="3"/>
                <c:pt idx="0">
                  <c:v>7.6</c:v>
                </c:pt>
                <c:pt idx="1">
                  <c:v>4.5</c:v>
                </c:pt>
                <c:pt idx="2">
                  <c:v>6</c:v>
                </c:pt>
              </c:numCache>
            </c:numRef>
          </c:val>
          <c:extLst>
            <c:ext xmlns:c16="http://schemas.microsoft.com/office/drawing/2014/chart" uri="{C3380CC4-5D6E-409C-BE32-E72D297353CC}">
              <c16:uniqueId val="{00000000-2AB2-4415-AFD4-C313E41E7AB3}"/>
            </c:ext>
          </c:extLst>
        </c:ser>
        <c:ser>
          <c:idx val="1"/>
          <c:order val="1"/>
          <c:tx>
            <c:strRef>
              <c:f>'[6]2.10'!$B$142</c:f>
              <c:strCache>
                <c:ptCount val="1"/>
                <c:pt idx="0">
                  <c:v>Angus</c:v>
                </c:pt>
              </c:strCache>
            </c:strRef>
          </c:tx>
          <c:spPr>
            <a:solidFill>
              <a:schemeClr val="accent2"/>
            </a:solidFill>
            <a:ln>
              <a:noFill/>
            </a:ln>
            <a:effectLst/>
          </c:spPr>
          <c:invertIfNegative val="0"/>
          <c:cat>
            <c:multiLvlStrRef>
              <c:f>'[6]2.10'!$F$139:$H$140</c:f>
              <c:multiLvlStrCache>
                <c:ptCount val="3"/>
                <c:lvl>
                  <c:pt idx="0">
                    <c:v>Men</c:v>
                  </c:pt>
                  <c:pt idx="1">
                    <c:v>Women</c:v>
                  </c:pt>
                  <c:pt idx="2">
                    <c:v>People</c:v>
                  </c:pt>
                </c:lvl>
                <c:lvl>
                  <c:pt idx="0">
                    <c:v>Percentage of Pop</c:v>
                  </c:pt>
                </c:lvl>
              </c:multiLvlStrCache>
            </c:multiLvlStrRef>
          </c:cat>
          <c:val>
            <c:numRef>
              <c:f>'[6]2.10'!$F$142:$H$142</c:f>
              <c:numCache>
                <c:formatCode>General</c:formatCode>
                <c:ptCount val="3"/>
                <c:pt idx="0">
                  <c:v>6.9</c:v>
                </c:pt>
                <c:pt idx="1">
                  <c:v>4</c:v>
                </c:pt>
                <c:pt idx="2">
                  <c:v>5.4</c:v>
                </c:pt>
              </c:numCache>
            </c:numRef>
          </c:val>
          <c:extLst>
            <c:ext xmlns:c16="http://schemas.microsoft.com/office/drawing/2014/chart" uri="{C3380CC4-5D6E-409C-BE32-E72D297353CC}">
              <c16:uniqueId val="{00000001-2AB2-4415-AFD4-C313E41E7AB3}"/>
            </c:ext>
          </c:extLst>
        </c:ser>
        <c:ser>
          <c:idx val="2"/>
          <c:order val="2"/>
          <c:tx>
            <c:strRef>
              <c:f>'[6]2.10'!$B$143</c:f>
              <c:strCache>
                <c:ptCount val="1"/>
                <c:pt idx="0">
                  <c:v>Dundee City</c:v>
                </c:pt>
              </c:strCache>
            </c:strRef>
          </c:tx>
          <c:spPr>
            <a:solidFill>
              <a:schemeClr val="accent3"/>
            </a:solidFill>
            <a:ln>
              <a:noFill/>
            </a:ln>
            <a:effectLst/>
          </c:spPr>
          <c:invertIfNegative val="0"/>
          <c:cat>
            <c:multiLvlStrRef>
              <c:f>'[6]2.10'!$F$139:$H$140</c:f>
              <c:multiLvlStrCache>
                <c:ptCount val="3"/>
                <c:lvl>
                  <c:pt idx="0">
                    <c:v>Men</c:v>
                  </c:pt>
                  <c:pt idx="1">
                    <c:v>Women</c:v>
                  </c:pt>
                  <c:pt idx="2">
                    <c:v>People</c:v>
                  </c:pt>
                </c:lvl>
                <c:lvl>
                  <c:pt idx="0">
                    <c:v>Percentage of Pop</c:v>
                  </c:pt>
                </c:lvl>
              </c:multiLvlStrCache>
            </c:multiLvlStrRef>
          </c:cat>
          <c:val>
            <c:numRef>
              <c:f>'[6]2.10'!$F$143:$H$143</c:f>
              <c:numCache>
                <c:formatCode>General</c:formatCode>
                <c:ptCount val="3"/>
                <c:pt idx="0">
                  <c:v>9.6</c:v>
                </c:pt>
                <c:pt idx="1">
                  <c:v>4.9000000000000004</c:v>
                </c:pt>
                <c:pt idx="2">
                  <c:v>7.2</c:v>
                </c:pt>
              </c:numCache>
            </c:numRef>
          </c:val>
          <c:extLst>
            <c:ext xmlns:c16="http://schemas.microsoft.com/office/drawing/2014/chart" uri="{C3380CC4-5D6E-409C-BE32-E72D297353CC}">
              <c16:uniqueId val="{00000002-2AB2-4415-AFD4-C313E41E7AB3}"/>
            </c:ext>
          </c:extLst>
        </c:ser>
        <c:ser>
          <c:idx val="3"/>
          <c:order val="3"/>
          <c:tx>
            <c:strRef>
              <c:f>'[6]2.10'!$B$144</c:f>
              <c:strCache>
                <c:ptCount val="1"/>
                <c:pt idx="0">
                  <c:v>Fife</c:v>
                </c:pt>
              </c:strCache>
            </c:strRef>
          </c:tx>
          <c:spPr>
            <a:solidFill>
              <a:schemeClr val="accent4"/>
            </a:solidFill>
            <a:ln>
              <a:noFill/>
            </a:ln>
            <a:effectLst/>
          </c:spPr>
          <c:invertIfNegative val="0"/>
          <c:cat>
            <c:multiLvlStrRef>
              <c:f>'[6]2.10'!$F$139:$H$140</c:f>
              <c:multiLvlStrCache>
                <c:ptCount val="3"/>
                <c:lvl>
                  <c:pt idx="0">
                    <c:v>Men</c:v>
                  </c:pt>
                  <c:pt idx="1">
                    <c:v>Women</c:v>
                  </c:pt>
                  <c:pt idx="2">
                    <c:v>People</c:v>
                  </c:pt>
                </c:lvl>
                <c:lvl>
                  <c:pt idx="0">
                    <c:v>Percentage of Pop</c:v>
                  </c:pt>
                </c:lvl>
              </c:multiLvlStrCache>
            </c:multiLvlStrRef>
          </c:cat>
          <c:val>
            <c:numRef>
              <c:f>'[6]2.10'!$F$144:$H$144</c:f>
              <c:numCache>
                <c:formatCode>General</c:formatCode>
                <c:ptCount val="3"/>
                <c:pt idx="0">
                  <c:v>8</c:v>
                </c:pt>
                <c:pt idx="1">
                  <c:v>4.9000000000000004</c:v>
                </c:pt>
                <c:pt idx="2">
                  <c:v>6.4</c:v>
                </c:pt>
              </c:numCache>
            </c:numRef>
          </c:val>
          <c:extLst>
            <c:ext xmlns:c16="http://schemas.microsoft.com/office/drawing/2014/chart" uri="{C3380CC4-5D6E-409C-BE32-E72D297353CC}">
              <c16:uniqueId val="{00000003-2AB2-4415-AFD4-C313E41E7AB3}"/>
            </c:ext>
          </c:extLst>
        </c:ser>
        <c:ser>
          <c:idx val="4"/>
          <c:order val="4"/>
          <c:tx>
            <c:strRef>
              <c:f>'[6]2.10'!$B$145</c:f>
              <c:strCache>
                <c:ptCount val="1"/>
                <c:pt idx="0">
                  <c:v>Perth &amp; Kinross</c:v>
                </c:pt>
              </c:strCache>
            </c:strRef>
          </c:tx>
          <c:spPr>
            <a:solidFill>
              <a:schemeClr val="accent5"/>
            </a:solidFill>
            <a:ln>
              <a:noFill/>
            </a:ln>
            <a:effectLst/>
          </c:spPr>
          <c:invertIfNegative val="0"/>
          <c:cat>
            <c:multiLvlStrRef>
              <c:f>'[6]2.10'!$F$139:$H$140</c:f>
              <c:multiLvlStrCache>
                <c:ptCount val="3"/>
                <c:lvl>
                  <c:pt idx="0">
                    <c:v>Men</c:v>
                  </c:pt>
                  <c:pt idx="1">
                    <c:v>Women</c:v>
                  </c:pt>
                  <c:pt idx="2">
                    <c:v>People</c:v>
                  </c:pt>
                </c:lvl>
                <c:lvl>
                  <c:pt idx="0">
                    <c:v>Percentage of Pop</c:v>
                  </c:pt>
                </c:lvl>
              </c:multiLvlStrCache>
            </c:multiLvlStrRef>
          </c:cat>
          <c:val>
            <c:numRef>
              <c:f>'[6]2.10'!$F$145:$H$145</c:f>
              <c:numCache>
                <c:formatCode>General</c:formatCode>
                <c:ptCount val="3"/>
                <c:pt idx="0">
                  <c:v>5.6</c:v>
                </c:pt>
                <c:pt idx="1">
                  <c:v>3.7</c:v>
                </c:pt>
                <c:pt idx="2">
                  <c:v>4.7</c:v>
                </c:pt>
              </c:numCache>
            </c:numRef>
          </c:val>
          <c:extLst>
            <c:ext xmlns:c16="http://schemas.microsoft.com/office/drawing/2014/chart" uri="{C3380CC4-5D6E-409C-BE32-E72D297353CC}">
              <c16:uniqueId val="{00000004-2AB2-4415-AFD4-C313E41E7AB3}"/>
            </c:ext>
          </c:extLst>
        </c:ser>
        <c:dLbls>
          <c:showLegendKey val="0"/>
          <c:showVal val="0"/>
          <c:showCatName val="0"/>
          <c:showSerName val="0"/>
          <c:showPercent val="0"/>
          <c:showBubbleSize val="0"/>
        </c:dLbls>
        <c:gapWidth val="182"/>
        <c:axId val="430614992"/>
        <c:axId val="430612040"/>
      </c:barChart>
      <c:catAx>
        <c:axId val="430614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0612040"/>
        <c:crosses val="autoZero"/>
        <c:auto val="1"/>
        <c:lblAlgn val="ctr"/>
        <c:lblOffset val="100"/>
        <c:noMultiLvlLbl val="0"/>
      </c:catAx>
      <c:valAx>
        <c:axId val="43061204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0614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Gross Weekly Pay for All Employees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'[6]2.10'!$F$150</c:f>
              <c:strCache>
                <c:ptCount val="1"/>
                <c:pt idx="0">
                  <c:v>Mean</c:v>
                </c:pt>
              </c:strCache>
            </c:strRef>
          </c:tx>
          <c:spPr>
            <a:solidFill>
              <a:schemeClr val="accent1"/>
            </a:solidFill>
            <a:ln>
              <a:noFill/>
            </a:ln>
            <a:effectLst/>
          </c:spPr>
          <c:invertIfNegative val="0"/>
          <c:cat>
            <c:strRef>
              <c:f>'[6]2.10'!$B$151:$B$154</c:f>
              <c:strCache>
                <c:ptCount val="4"/>
                <c:pt idx="0">
                  <c:v>Angus</c:v>
                </c:pt>
                <c:pt idx="1">
                  <c:v>Dundee City</c:v>
                </c:pt>
                <c:pt idx="2">
                  <c:v>Fife</c:v>
                </c:pt>
                <c:pt idx="3">
                  <c:v>Perth and Kinross</c:v>
                </c:pt>
              </c:strCache>
            </c:strRef>
          </c:cat>
          <c:val>
            <c:numRef>
              <c:f>'[6]2.10'!$F$151:$F$154</c:f>
              <c:numCache>
                <c:formatCode>General</c:formatCode>
                <c:ptCount val="4"/>
                <c:pt idx="0">
                  <c:v>506.3</c:v>
                </c:pt>
                <c:pt idx="1">
                  <c:v>498.2</c:v>
                </c:pt>
                <c:pt idx="2">
                  <c:v>529.6</c:v>
                </c:pt>
                <c:pt idx="3">
                  <c:v>562.29999999999995</c:v>
                </c:pt>
              </c:numCache>
            </c:numRef>
          </c:val>
          <c:extLst>
            <c:ext xmlns:c16="http://schemas.microsoft.com/office/drawing/2014/chart" uri="{C3380CC4-5D6E-409C-BE32-E72D297353CC}">
              <c16:uniqueId val="{00000000-0F30-45A5-985B-7EEC1CB2BAA3}"/>
            </c:ext>
          </c:extLst>
        </c:ser>
        <c:dLbls>
          <c:showLegendKey val="0"/>
          <c:showVal val="0"/>
          <c:showCatName val="0"/>
          <c:showSerName val="0"/>
          <c:showPercent val="0"/>
          <c:showBubbleSize val="0"/>
        </c:dLbls>
        <c:gapWidth val="182"/>
        <c:axId val="542320688"/>
        <c:axId val="542322328"/>
      </c:barChart>
      <c:catAx>
        <c:axId val="5423206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2322328"/>
        <c:crosses val="autoZero"/>
        <c:auto val="1"/>
        <c:lblAlgn val="ctr"/>
        <c:lblOffset val="100"/>
        <c:noMultiLvlLbl val="0"/>
      </c:catAx>
      <c:valAx>
        <c:axId val="5423223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23206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Percentage Change Population by Age Group 2022</a:t>
            </a:r>
            <a:r>
              <a:rPr lang="en-GB" baseline="0"/>
              <a:t> -</a:t>
            </a:r>
            <a:r>
              <a:rPr lang="en-GB"/>
              <a:t> 2042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'1.1 Population Projections'!$C$163</c:f>
              <c:strCache>
                <c:ptCount val="1"/>
                <c:pt idx="0">
                  <c:v>Moray</c:v>
                </c:pt>
              </c:strCache>
            </c:strRef>
          </c:tx>
          <c:spPr>
            <a:solidFill>
              <a:schemeClr val="accent1"/>
            </a:solidFill>
            <a:ln>
              <a:noFill/>
            </a:ln>
            <a:effectLst/>
          </c:spPr>
          <c:invertIfNegative val="0"/>
          <c:cat>
            <c:strRef>
              <c:f>'1.1 Population Projections'!$B$164:$B$168</c:f>
              <c:strCache>
                <c:ptCount val="5"/>
                <c:pt idx="0">
                  <c:v>0-15 </c:v>
                </c:pt>
                <c:pt idx="1">
                  <c:v>16-24 </c:v>
                </c:pt>
                <c:pt idx="2">
                  <c:v>25-64 </c:v>
                </c:pt>
                <c:pt idx="3">
                  <c:v>65-84 </c:v>
                </c:pt>
                <c:pt idx="4">
                  <c:v>85+ </c:v>
                </c:pt>
              </c:strCache>
            </c:strRef>
          </c:cat>
          <c:val>
            <c:numRef>
              <c:f>'1.1 Population Projections'!$C$164:$C$168</c:f>
              <c:numCache>
                <c:formatCode>0%</c:formatCode>
                <c:ptCount val="5"/>
                <c:pt idx="0">
                  <c:v>-0.18496997869455742</c:v>
                </c:pt>
                <c:pt idx="1">
                  <c:v>-0.17488021902806297</c:v>
                </c:pt>
                <c:pt idx="2">
                  <c:v>-0.1056496146610838</c:v>
                </c:pt>
                <c:pt idx="3">
                  <c:v>0.23624140087554721</c:v>
                </c:pt>
                <c:pt idx="4">
                  <c:v>0.85482758620689658</c:v>
                </c:pt>
              </c:numCache>
            </c:numRef>
          </c:val>
          <c:extLst>
            <c:ext xmlns:c16="http://schemas.microsoft.com/office/drawing/2014/chart" uri="{C3380CC4-5D6E-409C-BE32-E72D297353CC}">
              <c16:uniqueId val="{00000000-A265-4EA8-BF7D-9A32A08554E1}"/>
            </c:ext>
          </c:extLst>
        </c:ser>
        <c:ser>
          <c:idx val="1"/>
          <c:order val="1"/>
          <c:tx>
            <c:strRef>
              <c:f>'1.1 Population Projections'!$D$163</c:f>
              <c:strCache>
                <c:ptCount val="1"/>
                <c:pt idx="0">
                  <c:v>Scotland</c:v>
                </c:pt>
              </c:strCache>
            </c:strRef>
          </c:tx>
          <c:spPr>
            <a:solidFill>
              <a:schemeClr val="accent2"/>
            </a:solidFill>
            <a:ln>
              <a:noFill/>
            </a:ln>
            <a:effectLst/>
          </c:spPr>
          <c:invertIfNegative val="0"/>
          <c:cat>
            <c:strRef>
              <c:f>'1.1 Population Projections'!$B$164:$B$168</c:f>
              <c:strCache>
                <c:ptCount val="5"/>
                <c:pt idx="0">
                  <c:v>0-15 </c:v>
                </c:pt>
                <c:pt idx="1">
                  <c:v>16-24 </c:v>
                </c:pt>
                <c:pt idx="2">
                  <c:v>25-64 </c:v>
                </c:pt>
                <c:pt idx="3">
                  <c:v>65-84 </c:v>
                </c:pt>
                <c:pt idx="4">
                  <c:v>85+ </c:v>
                </c:pt>
              </c:strCache>
            </c:strRef>
          </c:cat>
          <c:val>
            <c:numRef>
              <c:f>'1.1 Population Projections'!$D$164:$D$168</c:f>
              <c:numCache>
                <c:formatCode>0%</c:formatCode>
                <c:ptCount val="5"/>
                <c:pt idx="0">
                  <c:v>-9.6723055994383009E-2</c:v>
                </c:pt>
                <c:pt idx="1">
                  <c:v>-5.315402438161454E-2</c:v>
                </c:pt>
                <c:pt idx="2">
                  <c:v>-3.1808326757086648E-2</c:v>
                </c:pt>
                <c:pt idx="3">
                  <c:v>0.22264915845969466</c:v>
                </c:pt>
                <c:pt idx="4">
                  <c:v>0.64358512965631554</c:v>
                </c:pt>
              </c:numCache>
            </c:numRef>
          </c:val>
          <c:extLst>
            <c:ext xmlns:c16="http://schemas.microsoft.com/office/drawing/2014/chart" uri="{C3380CC4-5D6E-409C-BE32-E72D297353CC}">
              <c16:uniqueId val="{00000001-A265-4EA8-BF7D-9A32A08554E1}"/>
            </c:ext>
          </c:extLst>
        </c:ser>
        <c:dLbls>
          <c:showLegendKey val="0"/>
          <c:showVal val="0"/>
          <c:showCatName val="0"/>
          <c:showSerName val="0"/>
          <c:showPercent val="0"/>
          <c:showBubbleSize val="0"/>
        </c:dLbls>
        <c:gapWidth val="219"/>
        <c:overlap val="-27"/>
        <c:axId val="530064352"/>
        <c:axId val="530061728"/>
      </c:barChart>
      <c:catAx>
        <c:axId val="53006435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0061728"/>
        <c:crosses val="autoZero"/>
        <c:auto val="1"/>
        <c:lblAlgn val="ctr"/>
        <c:lblOffset val="100"/>
        <c:noMultiLvlLbl val="0"/>
      </c:catAx>
      <c:valAx>
        <c:axId val="530061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00643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Gross</a:t>
            </a:r>
            <a:r>
              <a:rPr lang="en-GB" baseline="0"/>
              <a:t> Weekly Pay for Full Time Employees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'[6]2.10'!$F$155</c:f>
              <c:strCache>
                <c:ptCount val="1"/>
                <c:pt idx="0">
                  <c:v>Mean</c:v>
                </c:pt>
              </c:strCache>
            </c:strRef>
          </c:tx>
          <c:spPr>
            <a:solidFill>
              <a:schemeClr val="accent1"/>
            </a:solidFill>
            <a:ln>
              <a:noFill/>
            </a:ln>
            <a:effectLst/>
          </c:spPr>
          <c:invertIfNegative val="0"/>
          <c:cat>
            <c:strRef>
              <c:f>'[6]2.10'!$B$156:$B$159</c:f>
              <c:strCache>
                <c:ptCount val="4"/>
                <c:pt idx="0">
                  <c:v>Angus</c:v>
                </c:pt>
                <c:pt idx="1">
                  <c:v>Dundee City</c:v>
                </c:pt>
                <c:pt idx="2">
                  <c:v>Fife</c:v>
                </c:pt>
                <c:pt idx="3">
                  <c:v>Perth and Kinross</c:v>
                </c:pt>
              </c:strCache>
            </c:strRef>
          </c:cat>
          <c:val>
            <c:numRef>
              <c:f>'[6]2.10'!$F$156:$F$159</c:f>
              <c:numCache>
                <c:formatCode>General</c:formatCode>
                <c:ptCount val="4"/>
                <c:pt idx="0">
                  <c:v>626.5</c:v>
                </c:pt>
                <c:pt idx="1">
                  <c:v>602.9</c:v>
                </c:pt>
                <c:pt idx="2">
                  <c:v>645.6</c:v>
                </c:pt>
                <c:pt idx="3">
                  <c:v>678.4</c:v>
                </c:pt>
              </c:numCache>
            </c:numRef>
          </c:val>
          <c:extLst>
            <c:ext xmlns:c16="http://schemas.microsoft.com/office/drawing/2014/chart" uri="{C3380CC4-5D6E-409C-BE32-E72D297353CC}">
              <c16:uniqueId val="{00000000-5873-4E3C-BEFA-C4DA3D2CB914}"/>
            </c:ext>
          </c:extLst>
        </c:ser>
        <c:dLbls>
          <c:showLegendKey val="0"/>
          <c:showVal val="0"/>
          <c:showCatName val="0"/>
          <c:showSerName val="0"/>
          <c:showPercent val="0"/>
          <c:showBubbleSize val="0"/>
        </c:dLbls>
        <c:gapWidth val="182"/>
        <c:axId val="544303824"/>
        <c:axId val="544307432"/>
      </c:barChart>
      <c:catAx>
        <c:axId val="544303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4307432"/>
        <c:crosses val="autoZero"/>
        <c:auto val="1"/>
        <c:lblAlgn val="ctr"/>
        <c:lblOffset val="100"/>
        <c:noMultiLvlLbl val="0"/>
      </c:catAx>
      <c:valAx>
        <c:axId val="54430743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43038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Gross</a:t>
            </a:r>
            <a:r>
              <a:rPr lang="en-GB" baseline="0"/>
              <a:t> Weekly Pay for Part Time Employees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'[6]2.10'!$F$160</c:f>
              <c:strCache>
                <c:ptCount val="1"/>
                <c:pt idx="0">
                  <c:v>Mean</c:v>
                </c:pt>
              </c:strCache>
            </c:strRef>
          </c:tx>
          <c:spPr>
            <a:solidFill>
              <a:schemeClr val="accent1"/>
            </a:solidFill>
            <a:ln>
              <a:noFill/>
            </a:ln>
            <a:effectLst/>
          </c:spPr>
          <c:invertIfNegative val="0"/>
          <c:cat>
            <c:strRef>
              <c:f>'[6]2.10'!$B$161:$B$164</c:f>
              <c:strCache>
                <c:ptCount val="4"/>
                <c:pt idx="0">
                  <c:v>Angus</c:v>
                </c:pt>
                <c:pt idx="1">
                  <c:v>Dundee City</c:v>
                </c:pt>
                <c:pt idx="2">
                  <c:v>Fife</c:v>
                </c:pt>
                <c:pt idx="3">
                  <c:v>Perth and Kinross</c:v>
                </c:pt>
              </c:strCache>
            </c:strRef>
          </c:cat>
          <c:val>
            <c:numRef>
              <c:f>'[6]2.10'!$F$161:$F$164</c:f>
              <c:numCache>
                <c:formatCode>General</c:formatCode>
                <c:ptCount val="4"/>
                <c:pt idx="0">
                  <c:v>239</c:v>
                </c:pt>
                <c:pt idx="1">
                  <c:v>244.1</c:v>
                </c:pt>
                <c:pt idx="2">
                  <c:v>264.89999999999998</c:v>
                </c:pt>
                <c:pt idx="3">
                  <c:v>254.4</c:v>
                </c:pt>
              </c:numCache>
            </c:numRef>
          </c:val>
          <c:extLst>
            <c:ext xmlns:c16="http://schemas.microsoft.com/office/drawing/2014/chart" uri="{C3380CC4-5D6E-409C-BE32-E72D297353CC}">
              <c16:uniqueId val="{00000000-0D46-4791-BF7A-F6D9E98ED28B}"/>
            </c:ext>
          </c:extLst>
        </c:ser>
        <c:dLbls>
          <c:showLegendKey val="0"/>
          <c:showVal val="0"/>
          <c:showCatName val="0"/>
          <c:showSerName val="0"/>
          <c:showPercent val="0"/>
          <c:showBubbleSize val="0"/>
        </c:dLbls>
        <c:gapWidth val="182"/>
        <c:axId val="607311104"/>
        <c:axId val="607307824"/>
      </c:barChart>
      <c:catAx>
        <c:axId val="6073111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7307824"/>
        <c:crosses val="autoZero"/>
        <c:auto val="1"/>
        <c:lblAlgn val="ctr"/>
        <c:lblOffset val="100"/>
        <c:noMultiLvlLbl val="0"/>
      </c:catAx>
      <c:valAx>
        <c:axId val="60730782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73111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Gross</a:t>
            </a:r>
            <a:r>
              <a:rPr lang="en-GB" baseline="0"/>
              <a:t> Weekly Pay for Male Employees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'[6]2.10'!$F$165</c:f>
              <c:strCache>
                <c:ptCount val="1"/>
                <c:pt idx="0">
                  <c:v>Mean</c:v>
                </c:pt>
              </c:strCache>
            </c:strRef>
          </c:tx>
          <c:spPr>
            <a:solidFill>
              <a:schemeClr val="accent1"/>
            </a:solidFill>
            <a:ln>
              <a:noFill/>
            </a:ln>
            <a:effectLst/>
          </c:spPr>
          <c:invertIfNegative val="0"/>
          <c:cat>
            <c:strRef>
              <c:f>'[6]2.10'!$B$166:$B$169</c:f>
              <c:strCache>
                <c:ptCount val="4"/>
                <c:pt idx="0">
                  <c:v>Angus</c:v>
                </c:pt>
                <c:pt idx="1">
                  <c:v>Dundee City</c:v>
                </c:pt>
                <c:pt idx="2">
                  <c:v>Fife</c:v>
                </c:pt>
                <c:pt idx="3">
                  <c:v>Perth and Kinross</c:v>
                </c:pt>
              </c:strCache>
            </c:strRef>
          </c:cat>
          <c:val>
            <c:numRef>
              <c:f>'[6]2.10'!$F$166:$F$169</c:f>
              <c:numCache>
                <c:formatCode>General</c:formatCode>
                <c:ptCount val="4"/>
                <c:pt idx="0">
                  <c:v>589.29999999999995</c:v>
                </c:pt>
                <c:pt idx="1">
                  <c:v>597.79999999999995</c:v>
                </c:pt>
                <c:pt idx="2">
                  <c:v>611.1</c:v>
                </c:pt>
                <c:pt idx="3">
                  <c:v>651.9</c:v>
                </c:pt>
              </c:numCache>
            </c:numRef>
          </c:val>
          <c:extLst>
            <c:ext xmlns:c16="http://schemas.microsoft.com/office/drawing/2014/chart" uri="{C3380CC4-5D6E-409C-BE32-E72D297353CC}">
              <c16:uniqueId val="{00000000-FF2C-49A8-AE8D-1089468D35E1}"/>
            </c:ext>
          </c:extLst>
        </c:ser>
        <c:dLbls>
          <c:showLegendKey val="0"/>
          <c:showVal val="0"/>
          <c:showCatName val="0"/>
          <c:showSerName val="0"/>
          <c:showPercent val="0"/>
          <c:showBubbleSize val="0"/>
        </c:dLbls>
        <c:gapWidth val="182"/>
        <c:axId val="552775064"/>
        <c:axId val="552772112"/>
      </c:barChart>
      <c:catAx>
        <c:axId val="5527750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2772112"/>
        <c:crosses val="autoZero"/>
        <c:auto val="1"/>
        <c:lblAlgn val="ctr"/>
        <c:lblOffset val="100"/>
        <c:noMultiLvlLbl val="0"/>
      </c:catAx>
      <c:valAx>
        <c:axId val="55277211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27750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Gross</a:t>
            </a:r>
            <a:r>
              <a:rPr lang="en-GB" baseline="0"/>
              <a:t> Weekly Pay for Female Employees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'[6]2.10'!$F$170</c:f>
              <c:strCache>
                <c:ptCount val="1"/>
                <c:pt idx="0">
                  <c:v>Mean</c:v>
                </c:pt>
              </c:strCache>
            </c:strRef>
          </c:tx>
          <c:spPr>
            <a:solidFill>
              <a:schemeClr val="accent1"/>
            </a:solidFill>
            <a:ln>
              <a:noFill/>
            </a:ln>
            <a:effectLst/>
          </c:spPr>
          <c:invertIfNegative val="0"/>
          <c:cat>
            <c:strRef>
              <c:f>'[6]2.10'!$B$171:$B$174</c:f>
              <c:strCache>
                <c:ptCount val="4"/>
                <c:pt idx="0">
                  <c:v>Angus</c:v>
                </c:pt>
                <c:pt idx="1">
                  <c:v>Dundee City</c:v>
                </c:pt>
                <c:pt idx="2">
                  <c:v>Fife</c:v>
                </c:pt>
                <c:pt idx="3">
                  <c:v>Perth and Kinross</c:v>
                </c:pt>
              </c:strCache>
            </c:strRef>
          </c:cat>
          <c:val>
            <c:numRef>
              <c:f>'[6]2.10'!$F$171:$F$174</c:f>
              <c:numCache>
                <c:formatCode>General</c:formatCode>
                <c:ptCount val="4"/>
                <c:pt idx="0">
                  <c:v>438.9</c:v>
                </c:pt>
                <c:pt idx="1">
                  <c:v>426</c:v>
                </c:pt>
                <c:pt idx="2">
                  <c:v>464.8</c:v>
                </c:pt>
                <c:pt idx="3">
                  <c:v>472.5</c:v>
                </c:pt>
              </c:numCache>
            </c:numRef>
          </c:val>
          <c:extLst>
            <c:ext xmlns:c16="http://schemas.microsoft.com/office/drawing/2014/chart" uri="{C3380CC4-5D6E-409C-BE32-E72D297353CC}">
              <c16:uniqueId val="{00000000-B334-4941-AC98-82720176C180}"/>
            </c:ext>
          </c:extLst>
        </c:ser>
        <c:dLbls>
          <c:showLegendKey val="0"/>
          <c:showVal val="0"/>
          <c:showCatName val="0"/>
          <c:showSerName val="0"/>
          <c:showPercent val="0"/>
          <c:showBubbleSize val="0"/>
        </c:dLbls>
        <c:gapWidth val="182"/>
        <c:axId val="630019096"/>
        <c:axId val="630021064"/>
      </c:barChart>
      <c:catAx>
        <c:axId val="6300190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0021064"/>
        <c:crosses val="autoZero"/>
        <c:auto val="1"/>
        <c:lblAlgn val="ctr"/>
        <c:lblOffset val="100"/>
        <c:noMultiLvlLbl val="0"/>
      </c:catAx>
      <c:valAx>
        <c:axId val="63002106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0019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Weekly</a:t>
            </a:r>
            <a:r>
              <a:rPr lang="en-GB" baseline="0"/>
              <a:t> Paid Hours Worked</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'[6]2.10'!$B$207</c:f>
              <c:strCache>
                <c:ptCount val="1"/>
                <c:pt idx="0">
                  <c:v>Angus</c:v>
                </c:pt>
              </c:strCache>
            </c:strRef>
          </c:tx>
          <c:spPr>
            <a:solidFill>
              <a:schemeClr val="accent1"/>
            </a:solidFill>
            <a:ln>
              <a:noFill/>
            </a:ln>
            <a:effectLst/>
          </c:spPr>
          <c:invertIfNegative val="0"/>
          <c:cat>
            <c:strRef>
              <c:f>'[6]2.10'!$C$206:$G$206</c:f>
              <c:strCache>
                <c:ptCount val="5"/>
                <c:pt idx="0">
                  <c:v>All</c:v>
                </c:pt>
                <c:pt idx="1">
                  <c:v>Male</c:v>
                </c:pt>
                <c:pt idx="2">
                  <c:v>Female</c:v>
                </c:pt>
                <c:pt idx="3">
                  <c:v>Full Time</c:v>
                </c:pt>
                <c:pt idx="4">
                  <c:v>Part Time</c:v>
                </c:pt>
              </c:strCache>
            </c:strRef>
          </c:cat>
          <c:val>
            <c:numRef>
              <c:f>'[6]2.10'!$C$207:$G$207</c:f>
              <c:numCache>
                <c:formatCode>General</c:formatCode>
                <c:ptCount val="5"/>
                <c:pt idx="0">
                  <c:v>32.700000000000003</c:v>
                </c:pt>
                <c:pt idx="1">
                  <c:v>36.4</c:v>
                </c:pt>
                <c:pt idx="2">
                  <c:v>29.8</c:v>
                </c:pt>
                <c:pt idx="3">
                  <c:v>39.1</c:v>
                </c:pt>
                <c:pt idx="4">
                  <c:v>18.5</c:v>
                </c:pt>
              </c:numCache>
            </c:numRef>
          </c:val>
          <c:extLst>
            <c:ext xmlns:c16="http://schemas.microsoft.com/office/drawing/2014/chart" uri="{C3380CC4-5D6E-409C-BE32-E72D297353CC}">
              <c16:uniqueId val="{00000000-F0AC-41FF-9851-FDA5C9C062EF}"/>
            </c:ext>
          </c:extLst>
        </c:ser>
        <c:ser>
          <c:idx val="1"/>
          <c:order val="1"/>
          <c:tx>
            <c:strRef>
              <c:f>'[6]2.10'!$B$208</c:f>
              <c:strCache>
                <c:ptCount val="1"/>
                <c:pt idx="0">
                  <c:v>Dundee City</c:v>
                </c:pt>
              </c:strCache>
            </c:strRef>
          </c:tx>
          <c:spPr>
            <a:solidFill>
              <a:schemeClr val="accent2"/>
            </a:solidFill>
            <a:ln>
              <a:noFill/>
            </a:ln>
            <a:effectLst/>
          </c:spPr>
          <c:invertIfNegative val="0"/>
          <c:cat>
            <c:strRef>
              <c:f>'[6]2.10'!$C$206:$G$206</c:f>
              <c:strCache>
                <c:ptCount val="5"/>
                <c:pt idx="0">
                  <c:v>All</c:v>
                </c:pt>
                <c:pt idx="1">
                  <c:v>Male</c:v>
                </c:pt>
                <c:pt idx="2">
                  <c:v>Female</c:v>
                </c:pt>
                <c:pt idx="3">
                  <c:v>Full Time</c:v>
                </c:pt>
                <c:pt idx="4">
                  <c:v>Part Time</c:v>
                </c:pt>
              </c:strCache>
            </c:strRef>
          </c:cat>
          <c:val>
            <c:numRef>
              <c:f>'[6]2.10'!$C$208:$G$208</c:f>
              <c:numCache>
                <c:formatCode>General</c:formatCode>
                <c:ptCount val="5"/>
                <c:pt idx="0">
                  <c:v>32.6</c:v>
                </c:pt>
                <c:pt idx="1">
                  <c:v>37.5</c:v>
                </c:pt>
                <c:pt idx="2">
                  <c:v>29.1</c:v>
                </c:pt>
                <c:pt idx="3">
                  <c:v>38.200000000000003</c:v>
                </c:pt>
                <c:pt idx="4">
                  <c:v>19.100000000000001</c:v>
                </c:pt>
              </c:numCache>
            </c:numRef>
          </c:val>
          <c:extLst>
            <c:ext xmlns:c16="http://schemas.microsoft.com/office/drawing/2014/chart" uri="{C3380CC4-5D6E-409C-BE32-E72D297353CC}">
              <c16:uniqueId val="{00000001-F0AC-41FF-9851-FDA5C9C062EF}"/>
            </c:ext>
          </c:extLst>
        </c:ser>
        <c:ser>
          <c:idx val="2"/>
          <c:order val="2"/>
          <c:tx>
            <c:strRef>
              <c:f>'[6]2.10'!$B$209</c:f>
              <c:strCache>
                <c:ptCount val="1"/>
                <c:pt idx="0">
                  <c:v>Fife</c:v>
                </c:pt>
              </c:strCache>
            </c:strRef>
          </c:tx>
          <c:spPr>
            <a:solidFill>
              <a:schemeClr val="accent3"/>
            </a:solidFill>
            <a:ln>
              <a:noFill/>
            </a:ln>
            <a:effectLst/>
          </c:spPr>
          <c:invertIfNegative val="0"/>
          <c:cat>
            <c:strRef>
              <c:f>'[6]2.10'!$C$206:$G$206</c:f>
              <c:strCache>
                <c:ptCount val="5"/>
                <c:pt idx="0">
                  <c:v>All</c:v>
                </c:pt>
                <c:pt idx="1">
                  <c:v>Male</c:v>
                </c:pt>
                <c:pt idx="2">
                  <c:v>Female</c:v>
                </c:pt>
                <c:pt idx="3">
                  <c:v>Full Time</c:v>
                </c:pt>
                <c:pt idx="4">
                  <c:v>Part Time</c:v>
                </c:pt>
              </c:strCache>
            </c:strRef>
          </c:cat>
          <c:val>
            <c:numRef>
              <c:f>'[6]2.10'!$C$209:$G$209</c:f>
              <c:numCache>
                <c:formatCode>General</c:formatCode>
                <c:ptCount val="5"/>
                <c:pt idx="0">
                  <c:v>32.5</c:v>
                </c:pt>
                <c:pt idx="1">
                  <c:v>35.5</c:v>
                </c:pt>
                <c:pt idx="2">
                  <c:v>30.1</c:v>
                </c:pt>
                <c:pt idx="3">
                  <c:v>38.1</c:v>
                </c:pt>
                <c:pt idx="4">
                  <c:v>19.7</c:v>
                </c:pt>
              </c:numCache>
            </c:numRef>
          </c:val>
          <c:extLst>
            <c:ext xmlns:c16="http://schemas.microsoft.com/office/drawing/2014/chart" uri="{C3380CC4-5D6E-409C-BE32-E72D297353CC}">
              <c16:uniqueId val="{00000002-F0AC-41FF-9851-FDA5C9C062EF}"/>
            </c:ext>
          </c:extLst>
        </c:ser>
        <c:ser>
          <c:idx val="3"/>
          <c:order val="3"/>
          <c:tx>
            <c:strRef>
              <c:f>'[6]2.10'!$B$210</c:f>
              <c:strCache>
                <c:ptCount val="1"/>
                <c:pt idx="0">
                  <c:v>Perth and Kinross</c:v>
                </c:pt>
              </c:strCache>
            </c:strRef>
          </c:tx>
          <c:spPr>
            <a:solidFill>
              <a:schemeClr val="accent4"/>
            </a:solidFill>
            <a:ln>
              <a:noFill/>
            </a:ln>
            <a:effectLst/>
          </c:spPr>
          <c:invertIfNegative val="0"/>
          <c:cat>
            <c:strRef>
              <c:f>'[6]2.10'!$C$206:$G$206</c:f>
              <c:strCache>
                <c:ptCount val="5"/>
                <c:pt idx="0">
                  <c:v>All</c:v>
                </c:pt>
                <c:pt idx="1">
                  <c:v>Male</c:v>
                </c:pt>
                <c:pt idx="2">
                  <c:v>Female</c:v>
                </c:pt>
                <c:pt idx="3">
                  <c:v>Full Time</c:v>
                </c:pt>
                <c:pt idx="4">
                  <c:v>Part Time</c:v>
                </c:pt>
              </c:strCache>
            </c:strRef>
          </c:cat>
          <c:val>
            <c:numRef>
              <c:f>'[6]2.10'!$C$210:$G$210</c:f>
              <c:numCache>
                <c:formatCode>General</c:formatCode>
                <c:ptCount val="5"/>
                <c:pt idx="0">
                  <c:v>33.200000000000003</c:v>
                </c:pt>
                <c:pt idx="1">
                  <c:v>36.700000000000003</c:v>
                </c:pt>
                <c:pt idx="2">
                  <c:v>29.7</c:v>
                </c:pt>
                <c:pt idx="3">
                  <c:v>38.700000000000003</c:v>
                </c:pt>
                <c:pt idx="4">
                  <c:v>18.7</c:v>
                </c:pt>
              </c:numCache>
            </c:numRef>
          </c:val>
          <c:extLst>
            <c:ext xmlns:c16="http://schemas.microsoft.com/office/drawing/2014/chart" uri="{C3380CC4-5D6E-409C-BE32-E72D297353CC}">
              <c16:uniqueId val="{00000003-F0AC-41FF-9851-FDA5C9C062EF}"/>
            </c:ext>
          </c:extLst>
        </c:ser>
        <c:dLbls>
          <c:showLegendKey val="0"/>
          <c:showVal val="0"/>
          <c:showCatName val="0"/>
          <c:showSerName val="0"/>
          <c:showPercent val="0"/>
          <c:showBubbleSize val="0"/>
        </c:dLbls>
        <c:gapWidth val="219"/>
        <c:overlap val="-27"/>
        <c:axId val="611924520"/>
        <c:axId val="611923864"/>
      </c:barChart>
      <c:catAx>
        <c:axId val="611924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1923864"/>
        <c:crosses val="autoZero"/>
        <c:auto val="1"/>
        <c:lblAlgn val="ctr"/>
        <c:lblOffset val="100"/>
        <c:noMultiLvlLbl val="0"/>
      </c:catAx>
      <c:valAx>
        <c:axId val="6119238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19245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 Annual Participation Measure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'[6]2.10'!$C$277</c:f>
              <c:strCache>
                <c:ptCount val="1"/>
                <c:pt idx="0">
                  <c:v>% Participation</c:v>
                </c:pt>
              </c:strCache>
            </c:strRef>
          </c:tx>
          <c:spPr>
            <a:solidFill>
              <a:schemeClr val="accent1"/>
            </a:solidFill>
            <a:ln>
              <a:noFill/>
            </a:ln>
            <a:effectLst/>
          </c:spPr>
          <c:invertIfNegative val="0"/>
          <c:cat>
            <c:strRef>
              <c:f>'[6]2.10'!$B$278:$B$281</c:f>
              <c:strCache>
                <c:ptCount val="4"/>
                <c:pt idx="0">
                  <c:v>Angus</c:v>
                </c:pt>
                <c:pt idx="1">
                  <c:v>Dundee City</c:v>
                </c:pt>
                <c:pt idx="2">
                  <c:v>Fife</c:v>
                </c:pt>
                <c:pt idx="3">
                  <c:v>Perth &amp; Kinross</c:v>
                </c:pt>
              </c:strCache>
            </c:strRef>
          </c:cat>
          <c:val>
            <c:numRef>
              <c:f>'[6]2.10'!$C$278:$C$281</c:f>
              <c:numCache>
                <c:formatCode>General</c:formatCode>
                <c:ptCount val="4"/>
                <c:pt idx="0">
                  <c:v>0.91400000000000003</c:v>
                </c:pt>
                <c:pt idx="1">
                  <c:v>0.9</c:v>
                </c:pt>
                <c:pt idx="2">
                  <c:v>0.91700000000000004</c:v>
                </c:pt>
                <c:pt idx="3">
                  <c:v>0.94799999999999995</c:v>
                </c:pt>
              </c:numCache>
            </c:numRef>
          </c:val>
          <c:extLst>
            <c:ext xmlns:c16="http://schemas.microsoft.com/office/drawing/2014/chart" uri="{C3380CC4-5D6E-409C-BE32-E72D297353CC}">
              <c16:uniqueId val="{00000000-8A93-42C7-B1A7-A2D044278C16}"/>
            </c:ext>
          </c:extLst>
        </c:ser>
        <c:dLbls>
          <c:showLegendKey val="0"/>
          <c:showVal val="0"/>
          <c:showCatName val="0"/>
          <c:showSerName val="0"/>
          <c:showPercent val="0"/>
          <c:showBubbleSize val="0"/>
        </c:dLbls>
        <c:gapWidth val="219"/>
        <c:overlap val="-27"/>
        <c:axId val="613087248"/>
        <c:axId val="613086592"/>
      </c:barChart>
      <c:catAx>
        <c:axId val="6130872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3086592"/>
        <c:crosses val="autoZero"/>
        <c:auto val="1"/>
        <c:lblAlgn val="ctr"/>
        <c:lblOffset val="100"/>
        <c:noMultiLvlLbl val="0"/>
      </c:catAx>
      <c:valAx>
        <c:axId val="6130865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30872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2018/19</a:t>
            </a:r>
            <a:r>
              <a:rPr lang="en-GB" baseline="0"/>
              <a:t> Graduate Apprentice Starts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'[6]2.10'!$C$299</c:f>
              <c:strCache>
                <c:ptCount val="1"/>
                <c:pt idx="0">
                  <c:v>Starts by GA home local authority</c:v>
                </c:pt>
              </c:strCache>
            </c:strRef>
          </c:tx>
          <c:spPr>
            <a:solidFill>
              <a:schemeClr val="accent1"/>
            </a:solidFill>
            <a:ln>
              <a:noFill/>
            </a:ln>
            <a:effectLst/>
          </c:spPr>
          <c:invertIfNegative val="0"/>
          <c:cat>
            <c:strRef>
              <c:f>'[6]2.10'!$B$300:$B$303</c:f>
              <c:strCache>
                <c:ptCount val="4"/>
                <c:pt idx="0">
                  <c:v>Angus</c:v>
                </c:pt>
                <c:pt idx="1">
                  <c:v>Dundee City</c:v>
                </c:pt>
                <c:pt idx="2">
                  <c:v>Fife</c:v>
                </c:pt>
                <c:pt idx="3">
                  <c:v>P&amp;K</c:v>
                </c:pt>
              </c:strCache>
            </c:strRef>
          </c:cat>
          <c:val>
            <c:numRef>
              <c:f>'[6]2.10'!$C$300:$C$303</c:f>
              <c:numCache>
                <c:formatCode>General</c:formatCode>
                <c:ptCount val="4"/>
                <c:pt idx="0">
                  <c:v>3.6999999999999998E-2</c:v>
                </c:pt>
                <c:pt idx="1">
                  <c:v>2.8000000000000001E-2</c:v>
                </c:pt>
                <c:pt idx="2">
                  <c:v>8.4000000000000005E-2</c:v>
                </c:pt>
                <c:pt idx="3">
                  <c:v>1.4E-2</c:v>
                </c:pt>
              </c:numCache>
            </c:numRef>
          </c:val>
          <c:extLst>
            <c:ext xmlns:c16="http://schemas.microsoft.com/office/drawing/2014/chart" uri="{C3380CC4-5D6E-409C-BE32-E72D297353CC}">
              <c16:uniqueId val="{00000000-26FC-46DA-AFDB-C7D42F20FA8D}"/>
            </c:ext>
          </c:extLst>
        </c:ser>
        <c:ser>
          <c:idx val="1"/>
          <c:order val="1"/>
          <c:tx>
            <c:strRef>
              <c:f>'[6]2.10'!$D$299</c:f>
              <c:strCache>
                <c:ptCount val="1"/>
                <c:pt idx="0">
                  <c:v>Starts by employer local authority</c:v>
                </c:pt>
              </c:strCache>
            </c:strRef>
          </c:tx>
          <c:spPr>
            <a:solidFill>
              <a:schemeClr val="accent2"/>
            </a:solidFill>
            <a:ln>
              <a:noFill/>
            </a:ln>
            <a:effectLst/>
          </c:spPr>
          <c:invertIfNegative val="0"/>
          <c:cat>
            <c:strRef>
              <c:f>'[6]2.10'!$B$300:$B$303</c:f>
              <c:strCache>
                <c:ptCount val="4"/>
                <c:pt idx="0">
                  <c:v>Angus</c:v>
                </c:pt>
                <c:pt idx="1">
                  <c:v>Dundee City</c:v>
                </c:pt>
                <c:pt idx="2">
                  <c:v>Fife</c:v>
                </c:pt>
                <c:pt idx="3">
                  <c:v>P&amp;K</c:v>
                </c:pt>
              </c:strCache>
            </c:strRef>
          </c:cat>
          <c:val>
            <c:numRef>
              <c:f>'[6]2.10'!$D$300:$D$303</c:f>
              <c:numCache>
                <c:formatCode>General</c:formatCode>
                <c:ptCount val="4"/>
                <c:pt idx="0">
                  <c:v>0.02</c:v>
                </c:pt>
                <c:pt idx="1">
                  <c:v>3.6999999999999998E-2</c:v>
                </c:pt>
                <c:pt idx="2">
                  <c:v>5.2999999999999999E-2</c:v>
                </c:pt>
                <c:pt idx="3">
                  <c:v>0.01</c:v>
                </c:pt>
              </c:numCache>
            </c:numRef>
          </c:val>
          <c:extLst>
            <c:ext xmlns:c16="http://schemas.microsoft.com/office/drawing/2014/chart" uri="{C3380CC4-5D6E-409C-BE32-E72D297353CC}">
              <c16:uniqueId val="{00000001-26FC-46DA-AFDB-C7D42F20FA8D}"/>
            </c:ext>
          </c:extLst>
        </c:ser>
        <c:dLbls>
          <c:showLegendKey val="0"/>
          <c:showVal val="0"/>
          <c:showCatName val="0"/>
          <c:showSerName val="0"/>
          <c:showPercent val="0"/>
          <c:showBubbleSize val="0"/>
        </c:dLbls>
        <c:gapWidth val="219"/>
        <c:overlap val="-27"/>
        <c:axId val="656618088"/>
        <c:axId val="656619728"/>
      </c:barChart>
      <c:catAx>
        <c:axId val="656618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6619728"/>
        <c:crosses val="autoZero"/>
        <c:auto val="1"/>
        <c:lblAlgn val="ctr"/>
        <c:lblOffset val="100"/>
        <c:noMultiLvlLbl val="0"/>
      </c:catAx>
      <c:valAx>
        <c:axId val="6566197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6618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2018/19</a:t>
            </a:r>
            <a:r>
              <a:rPr lang="en-US" baseline="0"/>
              <a:t> GraduateApprentice Employers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'[6]2.10'!$D$313</c:f>
              <c:strCache>
                <c:ptCount val="1"/>
                <c:pt idx="0">
                  <c:v>% of total</c:v>
                </c:pt>
              </c:strCache>
            </c:strRef>
          </c:tx>
          <c:spPr>
            <a:solidFill>
              <a:schemeClr val="accent1"/>
            </a:solidFill>
            <a:ln>
              <a:noFill/>
            </a:ln>
            <a:effectLst/>
          </c:spPr>
          <c:invertIfNegative val="0"/>
          <c:cat>
            <c:strRef>
              <c:f>'[6]2.10'!$B$314:$B$317</c:f>
              <c:strCache>
                <c:ptCount val="4"/>
                <c:pt idx="0">
                  <c:v>Angus</c:v>
                </c:pt>
                <c:pt idx="1">
                  <c:v>Dundee City</c:v>
                </c:pt>
                <c:pt idx="2">
                  <c:v>Fife</c:v>
                </c:pt>
                <c:pt idx="3">
                  <c:v>P&amp;K</c:v>
                </c:pt>
              </c:strCache>
            </c:strRef>
          </c:cat>
          <c:val>
            <c:numRef>
              <c:f>'[6]2.10'!$D$314:$D$317</c:f>
              <c:numCache>
                <c:formatCode>General</c:formatCode>
                <c:ptCount val="4"/>
                <c:pt idx="0">
                  <c:v>1.4E-2</c:v>
                </c:pt>
                <c:pt idx="1">
                  <c:v>2.9000000000000001E-2</c:v>
                </c:pt>
                <c:pt idx="2">
                  <c:v>4.5999999999999999E-2</c:v>
                </c:pt>
                <c:pt idx="3">
                  <c:v>1.4E-2</c:v>
                </c:pt>
              </c:numCache>
            </c:numRef>
          </c:val>
          <c:extLst>
            <c:ext xmlns:c16="http://schemas.microsoft.com/office/drawing/2014/chart" uri="{C3380CC4-5D6E-409C-BE32-E72D297353CC}">
              <c16:uniqueId val="{00000000-630C-48CF-990C-8181830B736F}"/>
            </c:ext>
          </c:extLst>
        </c:ser>
        <c:dLbls>
          <c:showLegendKey val="0"/>
          <c:showVal val="0"/>
          <c:showCatName val="0"/>
          <c:showSerName val="0"/>
          <c:showPercent val="0"/>
          <c:showBubbleSize val="0"/>
        </c:dLbls>
        <c:gapWidth val="219"/>
        <c:overlap val="-27"/>
        <c:axId val="659916016"/>
        <c:axId val="659916344"/>
      </c:barChart>
      <c:catAx>
        <c:axId val="659916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9916344"/>
        <c:crosses val="autoZero"/>
        <c:auto val="1"/>
        <c:lblAlgn val="ctr"/>
        <c:lblOffset val="100"/>
        <c:noMultiLvlLbl val="0"/>
      </c:catAx>
      <c:valAx>
        <c:axId val="6599163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99160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 of Schools in LA with FAs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'[6]2.10'!$C$338</c:f>
              <c:strCache>
                <c:ptCount val="1"/>
                <c:pt idx="0">
                  <c:v>Cohort 1</c:v>
                </c:pt>
              </c:strCache>
            </c:strRef>
          </c:tx>
          <c:spPr>
            <a:solidFill>
              <a:schemeClr val="accent1"/>
            </a:solidFill>
            <a:ln>
              <a:noFill/>
            </a:ln>
            <a:effectLst/>
          </c:spPr>
          <c:invertIfNegative val="0"/>
          <c:cat>
            <c:strRef>
              <c:f>'[6]2.10'!$B$339:$B$342</c:f>
              <c:strCache>
                <c:ptCount val="4"/>
                <c:pt idx="0">
                  <c:v>Angus</c:v>
                </c:pt>
                <c:pt idx="1">
                  <c:v>Dundee City</c:v>
                </c:pt>
                <c:pt idx="2">
                  <c:v>Fife</c:v>
                </c:pt>
                <c:pt idx="3">
                  <c:v>P&amp;K</c:v>
                </c:pt>
              </c:strCache>
            </c:strRef>
          </c:cat>
          <c:val>
            <c:numRef>
              <c:f>'[6]2.10'!$C$339:$C$342</c:f>
              <c:numCache>
                <c:formatCode>General</c:formatCode>
                <c:ptCount val="4"/>
                <c:pt idx="0">
                  <c:v>0.5</c:v>
                </c:pt>
                <c:pt idx="1">
                  <c:v>0.25</c:v>
                </c:pt>
                <c:pt idx="2">
                  <c:v>0.44400000000000001</c:v>
                </c:pt>
                <c:pt idx="3">
                  <c:v>0.5</c:v>
                </c:pt>
              </c:numCache>
            </c:numRef>
          </c:val>
          <c:extLst>
            <c:ext xmlns:c16="http://schemas.microsoft.com/office/drawing/2014/chart" uri="{C3380CC4-5D6E-409C-BE32-E72D297353CC}">
              <c16:uniqueId val="{00000000-5D13-49B6-97EA-F3B71BA4D874}"/>
            </c:ext>
          </c:extLst>
        </c:ser>
        <c:ser>
          <c:idx val="1"/>
          <c:order val="1"/>
          <c:tx>
            <c:strRef>
              <c:f>'[6]2.10'!$D$338</c:f>
              <c:strCache>
                <c:ptCount val="1"/>
                <c:pt idx="0">
                  <c:v>Cohort 2</c:v>
                </c:pt>
              </c:strCache>
            </c:strRef>
          </c:tx>
          <c:spPr>
            <a:solidFill>
              <a:schemeClr val="accent2"/>
            </a:solidFill>
            <a:ln>
              <a:noFill/>
            </a:ln>
            <a:effectLst/>
          </c:spPr>
          <c:invertIfNegative val="0"/>
          <c:cat>
            <c:strRef>
              <c:f>'[6]2.10'!$B$339:$B$342</c:f>
              <c:strCache>
                <c:ptCount val="4"/>
                <c:pt idx="0">
                  <c:v>Angus</c:v>
                </c:pt>
                <c:pt idx="1">
                  <c:v>Dundee City</c:v>
                </c:pt>
                <c:pt idx="2">
                  <c:v>Fife</c:v>
                </c:pt>
                <c:pt idx="3">
                  <c:v>P&amp;K</c:v>
                </c:pt>
              </c:strCache>
            </c:strRef>
          </c:cat>
          <c:val>
            <c:numRef>
              <c:f>'[6]2.10'!$D$339:$D$342</c:f>
              <c:numCache>
                <c:formatCode>General</c:formatCode>
                <c:ptCount val="4"/>
                <c:pt idx="0">
                  <c:v>0.875</c:v>
                </c:pt>
                <c:pt idx="1">
                  <c:v>0.375</c:v>
                </c:pt>
                <c:pt idx="2">
                  <c:v>0.88900000000000001</c:v>
                </c:pt>
                <c:pt idx="3">
                  <c:v>0.6</c:v>
                </c:pt>
              </c:numCache>
            </c:numRef>
          </c:val>
          <c:extLst>
            <c:ext xmlns:c16="http://schemas.microsoft.com/office/drawing/2014/chart" uri="{C3380CC4-5D6E-409C-BE32-E72D297353CC}">
              <c16:uniqueId val="{00000001-5D13-49B6-97EA-F3B71BA4D874}"/>
            </c:ext>
          </c:extLst>
        </c:ser>
        <c:ser>
          <c:idx val="2"/>
          <c:order val="2"/>
          <c:tx>
            <c:strRef>
              <c:f>'[6]2.10'!$E$338</c:f>
              <c:strCache>
                <c:ptCount val="1"/>
                <c:pt idx="0">
                  <c:v>Cohort 3</c:v>
                </c:pt>
              </c:strCache>
            </c:strRef>
          </c:tx>
          <c:spPr>
            <a:solidFill>
              <a:schemeClr val="accent3"/>
            </a:solidFill>
            <a:ln>
              <a:noFill/>
            </a:ln>
            <a:effectLst/>
          </c:spPr>
          <c:invertIfNegative val="0"/>
          <c:cat>
            <c:strRef>
              <c:f>'[6]2.10'!$B$339:$B$342</c:f>
              <c:strCache>
                <c:ptCount val="4"/>
                <c:pt idx="0">
                  <c:v>Angus</c:v>
                </c:pt>
                <c:pt idx="1">
                  <c:v>Dundee City</c:v>
                </c:pt>
                <c:pt idx="2">
                  <c:v>Fife</c:v>
                </c:pt>
                <c:pt idx="3">
                  <c:v>P&amp;K</c:v>
                </c:pt>
              </c:strCache>
            </c:strRef>
          </c:cat>
          <c:val>
            <c:numRef>
              <c:f>'[6]2.10'!$E$339:$E$342</c:f>
              <c:numCache>
                <c:formatCode>General</c:formatCode>
                <c:ptCount val="4"/>
                <c:pt idx="0">
                  <c:v>0.75</c:v>
                </c:pt>
                <c:pt idx="1">
                  <c:v>0.875</c:v>
                </c:pt>
                <c:pt idx="2">
                  <c:v>1</c:v>
                </c:pt>
                <c:pt idx="3">
                  <c:v>0.72699999999999998</c:v>
                </c:pt>
              </c:numCache>
            </c:numRef>
          </c:val>
          <c:extLst>
            <c:ext xmlns:c16="http://schemas.microsoft.com/office/drawing/2014/chart" uri="{C3380CC4-5D6E-409C-BE32-E72D297353CC}">
              <c16:uniqueId val="{00000002-5D13-49B6-97EA-F3B71BA4D874}"/>
            </c:ext>
          </c:extLst>
        </c:ser>
        <c:ser>
          <c:idx val="3"/>
          <c:order val="3"/>
          <c:tx>
            <c:strRef>
              <c:f>'[6]2.10'!$F$338</c:f>
              <c:strCache>
                <c:ptCount val="1"/>
                <c:pt idx="0">
                  <c:v>Cohort 4</c:v>
                </c:pt>
              </c:strCache>
            </c:strRef>
          </c:tx>
          <c:spPr>
            <a:solidFill>
              <a:schemeClr val="accent4"/>
            </a:solidFill>
            <a:ln>
              <a:noFill/>
            </a:ln>
            <a:effectLst/>
          </c:spPr>
          <c:invertIfNegative val="0"/>
          <c:cat>
            <c:strRef>
              <c:f>'[6]2.10'!$B$339:$B$342</c:f>
              <c:strCache>
                <c:ptCount val="4"/>
                <c:pt idx="0">
                  <c:v>Angus</c:v>
                </c:pt>
                <c:pt idx="1">
                  <c:v>Dundee City</c:v>
                </c:pt>
                <c:pt idx="2">
                  <c:v>Fife</c:v>
                </c:pt>
                <c:pt idx="3">
                  <c:v>P&amp;K</c:v>
                </c:pt>
              </c:strCache>
            </c:strRef>
          </c:cat>
          <c:val>
            <c:numRef>
              <c:f>'[6]2.10'!$F$339:$F$342</c:f>
              <c:numCache>
                <c:formatCode>General</c:formatCode>
                <c:ptCount val="4"/>
                <c:pt idx="0">
                  <c:v>1</c:v>
                </c:pt>
                <c:pt idx="1">
                  <c:v>1</c:v>
                </c:pt>
                <c:pt idx="2">
                  <c:v>1</c:v>
                </c:pt>
                <c:pt idx="3">
                  <c:v>0.81799999999999995</c:v>
                </c:pt>
              </c:numCache>
            </c:numRef>
          </c:val>
          <c:extLst>
            <c:ext xmlns:c16="http://schemas.microsoft.com/office/drawing/2014/chart" uri="{C3380CC4-5D6E-409C-BE32-E72D297353CC}">
              <c16:uniqueId val="{00000003-5D13-49B6-97EA-F3B71BA4D874}"/>
            </c:ext>
          </c:extLst>
        </c:ser>
        <c:dLbls>
          <c:showLegendKey val="0"/>
          <c:showVal val="0"/>
          <c:showCatName val="0"/>
          <c:showSerName val="0"/>
          <c:showPercent val="0"/>
          <c:showBubbleSize val="0"/>
        </c:dLbls>
        <c:gapWidth val="219"/>
        <c:overlap val="-27"/>
        <c:axId val="546550144"/>
        <c:axId val="546556376"/>
      </c:barChart>
      <c:catAx>
        <c:axId val="546550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6556376"/>
        <c:crosses val="autoZero"/>
        <c:auto val="1"/>
        <c:lblAlgn val="ctr"/>
        <c:lblOffset val="100"/>
        <c:noMultiLvlLbl val="0"/>
      </c:catAx>
      <c:valAx>
        <c:axId val="5465563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65501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Change Within Moray Net Migration 2014 - 2021</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'1.1 Population Projections'!$D$189</c:f>
              <c:strCache>
                <c:ptCount val="1"/>
                <c:pt idx="0">
                  <c:v>% Change</c:v>
                </c:pt>
              </c:strCache>
            </c:strRef>
          </c:tx>
          <c:spPr>
            <a:ln w="28575" cap="rnd">
              <a:solidFill>
                <a:schemeClr val="accent1"/>
              </a:solidFill>
              <a:round/>
            </a:ln>
            <a:effectLst/>
          </c:spPr>
          <c:marker>
            <c:symbol val="none"/>
          </c:marker>
          <c:cat>
            <c:strRef>
              <c:f>'1.1 Population Projections'!$B$191:$B$207</c:f>
              <c:strCache>
                <c:ptCount val="17"/>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strCache>
            </c:strRef>
          </c:cat>
          <c:val>
            <c:numRef>
              <c:f>'1.1 Population Projections'!$D$191:$D$207</c:f>
              <c:numCache>
                <c:formatCode>0.0%</c:formatCode>
                <c:ptCount val="17"/>
                <c:pt idx="0">
                  <c:v>-1.368421052631579</c:v>
                </c:pt>
                <c:pt idx="1">
                  <c:v>-1.1428571428571428</c:v>
                </c:pt>
                <c:pt idx="2">
                  <c:v>-18</c:v>
                </c:pt>
                <c:pt idx="3">
                  <c:v>-0.6470588235294118</c:v>
                </c:pt>
                <c:pt idx="4">
                  <c:v>-1.8333333333333333</c:v>
                </c:pt>
                <c:pt idx="5">
                  <c:v>-3</c:v>
                </c:pt>
                <c:pt idx="6">
                  <c:v>-1.6</c:v>
                </c:pt>
                <c:pt idx="7">
                  <c:v>-3</c:v>
                </c:pt>
                <c:pt idx="8">
                  <c:v>-2.0833333333333335</c:v>
                </c:pt>
                <c:pt idx="9">
                  <c:v>0.38461538461538464</c:v>
                </c:pt>
                <c:pt idx="10">
                  <c:v>0.5</c:v>
                </c:pt>
                <c:pt idx="11">
                  <c:v>-0.25925925925925924</c:v>
                </c:pt>
                <c:pt idx="12">
                  <c:v>-1.3</c:v>
                </c:pt>
                <c:pt idx="13">
                  <c:v>-0.33333333333333331</c:v>
                </c:pt>
                <c:pt idx="14">
                  <c:v>2.25</c:v>
                </c:pt>
                <c:pt idx="15">
                  <c:v>0.46153846153846156</c:v>
                </c:pt>
                <c:pt idx="16">
                  <c:v>-1.4210526315789473</c:v>
                </c:pt>
              </c:numCache>
            </c:numRef>
          </c:val>
          <c:smooth val="0"/>
          <c:extLst>
            <c:ext xmlns:c16="http://schemas.microsoft.com/office/drawing/2014/chart" uri="{C3380CC4-5D6E-409C-BE32-E72D297353CC}">
              <c16:uniqueId val="{00000000-3B71-4DF4-AA84-37F414A89C98}"/>
            </c:ext>
          </c:extLst>
        </c:ser>
        <c:dLbls>
          <c:showLegendKey val="0"/>
          <c:showVal val="0"/>
          <c:showCatName val="0"/>
          <c:showSerName val="0"/>
          <c:showPercent val="0"/>
          <c:showBubbleSize val="0"/>
        </c:dLbls>
        <c:smooth val="0"/>
        <c:axId val="907457440"/>
        <c:axId val="907460064"/>
      </c:lineChart>
      <c:catAx>
        <c:axId val="90745744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7460064"/>
        <c:crosses val="autoZero"/>
        <c:auto val="1"/>
        <c:lblAlgn val="ctr"/>
        <c:lblOffset val="100"/>
        <c:noMultiLvlLbl val="0"/>
      </c:catAx>
      <c:valAx>
        <c:axId val="90746006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74574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Percentage Population</a:t>
            </a:r>
            <a:r>
              <a:rPr lang="en-GB" baseline="0"/>
              <a:t> Projections All Years 2018 - 2038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'1.1 Population Projections'!$E$253</c:f>
              <c:strCache>
                <c:ptCount val="1"/>
                <c:pt idx="0">
                  <c:v>% Differece Moray</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'1.1 Population Projections'!$B$255:$B$257</c:f>
              <c:numCache>
                <c:formatCode>General</c:formatCode>
                <c:ptCount val="3"/>
                <c:pt idx="0">
                  <c:v>2028</c:v>
                </c:pt>
                <c:pt idx="1">
                  <c:v>2038</c:v>
                </c:pt>
                <c:pt idx="2">
                  <c:v>2043</c:v>
                </c:pt>
              </c:numCache>
            </c:numRef>
          </c:xVal>
          <c:yVal>
            <c:numRef>
              <c:f>'1.1 Population Projections'!$E$255:$E$257</c:f>
              <c:numCache>
                <c:formatCode>0.00%</c:formatCode>
                <c:ptCount val="3"/>
                <c:pt idx="0">
                  <c:v>-1.1620603015075376E-3</c:v>
                </c:pt>
                <c:pt idx="1">
                  <c:v>-1.5721787252774896E-2</c:v>
                </c:pt>
                <c:pt idx="2">
                  <c:v>-1.0041636051922606E-2</c:v>
                </c:pt>
              </c:numCache>
            </c:numRef>
          </c:yVal>
          <c:smooth val="0"/>
          <c:extLst>
            <c:ext xmlns:c16="http://schemas.microsoft.com/office/drawing/2014/chart" uri="{C3380CC4-5D6E-409C-BE32-E72D297353CC}">
              <c16:uniqueId val="{00000000-08C9-4614-BAAC-D6EDD6D5D01E}"/>
            </c:ext>
          </c:extLst>
        </c:ser>
        <c:ser>
          <c:idx val="1"/>
          <c:order val="1"/>
          <c:tx>
            <c:strRef>
              <c:f>'1.1 Population Projections'!$F$253</c:f>
              <c:strCache>
                <c:ptCount val="1"/>
                <c:pt idx="0">
                  <c:v>% Differece Scotland</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'1.1 Population Projections'!$B$255:$B$257</c:f>
              <c:numCache>
                <c:formatCode>General</c:formatCode>
                <c:ptCount val="3"/>
                <c:pt idx="0">
                  <c:v>2028</c:v>
                </c:pt>
                <c:pt idx="1">
                  <c:v>2038</c:v>
                </c:pt>
                <c:pt idx="2">
                  <c:v>2043</c:v>
                </c:pt>
              </c:numCache>
            </c:numRef>
          </c:xVal>
          <c:yVal>
            <c:numRef>
              <c:f>'1.1 Population Projections'!$F$255:$F$257</c:f>
              <c:numCache>
                <c:formatCode>0.00%</c:formatCode>
                <c:ptCount val="3"/>
                <c:pt idx="0">
                  <c:v>1.8207829940604256E-2</c:v>
                </c:pt>
                <c:pt idx="1">
                  <c:v>6.5133184856520972E-3</c:v>
                </c:pt>
                <c:pt idx="2">
                  <c:v>2.9390755476988817E-4</c:v>
                </c:pt>
              </c:numCache>
            </c:numRef>
          </c:yVal>
          <c:smooth val="0"/>
          <c:extLst>
            <c:ext xmlns:c16="http://schemas.microsoft.com/office/drawing/2014/chart" uri="{C3380CC4-5D6E-409C-BE32-E72D297353CC}">
              <c16:uniqueId val="{00000001-08C9-4614-BAAC-D6EDD6D5D01E}"/>
            </c:ext>
          </c:extLst>
        </c:ser>
        <c:dLbls>
          <c:showLegendKey val="0"/>
          <c:showVal val="0"/>
          <c:showCatName val="0"/>
          <c:showSerName val="0"/>
          <c:showPercent val="0"/>
          <c:showBubbleSize val="0"/>
        </c:dLbls>
        <c:axId val="1023700672"/>
        <c:axId val="1023701328"/>
      </c:scatterChart>
      <c:valAx>
        <c:axId val="1023700672"/>
        <c:scaling>
          <c:orientation val="minMax"/>
          <c:min val="2028"/>
        </c:scaling>
        <c:delete val="0"/>
        <c:axPos val="b"/>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3701328"/>
        <c:crosses val="autoZero"/>
        <c:crossBetween val="midCat"/>
      </c:valAx>
      <c:valAx>
        <c:axId val="1023701328"/>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370067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Population Projection All Ages Percentage</a:t>
            </a:r>
            <a:r>
              <a:rPr lang="en-GB" baseline="0"/>
              <a:t> Difference 2018-2043</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'1.1 Population Projections'!$C$297:$C$298</c:f>
              <c:strCache>
                <c:ptCount val="2"/>
                <c:pt idx="0">
                  <c:v>Moray % Difference</c:v>
                </c:pt>
              </c:strCache>
            </c:strRef>
          </c:tx>
          <c:spPr>
            <a:solidFill>
              <a:schemeClr val="accent1"/>
            </a:solidFill>
            <a:ln>
              <a:noFill/>
            </a:ln>
            <a:effectLst/>
          </c:spPr>
          <c:invertIfNegative val="0"/>
          <c:cat>
            <c:strRef>
              <c:f>'1.1 Population Projections'!$B$299:$B$323</c:f>
              <c:strCache>
                <c:ptCount val="25"/>
                <c:pt idx="0">
                  <c:v>2019</c:v>
                </c:pt>
                <c:pt idx="1">
                  <c:v>2020</c:v>
                </c:pt>
                <c:pt idx="2">
                  <c:v>2021</c:v>
                </c:pt>
                <c:pt idx="3">
                  <c:v>2022</c:v>
                </c:pt>
                <c:pt idx="4">
                  <c:v>2023</c:v>
                </c:pt>
                <c:pt idx="5">
                  <c:v>2024</c:v>
                </c:pt>
                <c:pt idx="6">
                  <c:v>2025</c:v>
                </c:pt>
                <c:pt idx="7">
                  <c:v>2026</c:v>
                </c:pt>
                <c:pt idx="8">
                  <c:v>2027</c:v>
                </c:pt>
                <c:pt idx="9">
                  <c:v>2028</c:v>
                </c:pt>
                <c:pt idx="10">
                  <c:v>2029</c:v>
                </c:pt>
                <c:pt idx="11">
                  <c:v>2030</c:v>
                </c:pt>
                <c:pt idx="12">
                  <c:v>2031</c:v>
                </c:pt>
                <c:pt idx="13">
                  <c:v>2032</c:v>
                </c:pt>
                <c:pt idx="14">
                  <c:v>2033</c:v>
                </c:pt>
                <c:pt idx="15">
                  <c:v>2034</c:v>
                </c:pt>
                <c:pt idx="16">
                  <c:v>2035</c:v>
                </c:pt>
                <c:pt idx="17">
                  <c:v>2036</c:v>
                </c:pt>
                <c:pt idx="18">
                  <c:v>2037</c:v>
                </c:pt>
                <c:pt idx="19">
                  <c:v>2038</c:v>
                </c:pt>
                <c:pt idx="20">
                  <c:v>2039</c:v>
                </c:pt>
                <c:pt idx="21">
                  <c:v>2040</c:v>
                </c:pt>
                <c:pt idx="22">
                  <c:v>2041</c:v>
                </c:pt>
                <c:pt idx="23">
                  <c:v>2042</c:v>
                </c:pt>
                <c:pt idx="24">
                  <c:v>2043</c:v>
                </c:pt>
              </c:strCache>
            </c:strRef>
          </c:cat>
          <c:val>
            <c:numRef>
              <c:f>'1.1 Population Projections'!$C$299:$C$323</c:f>
              <c:numCache>
                <c:formatCode>0.0000%</c:formatCode>
                <c:ptCount val="25"/>
                <c:pt idx="0">
                  <c:v>1.5598827470686767E-3</c:v>
                </c:pt>
                <c:pt idx="1">
                  <c:v>8.0485841808736376E-4</c:v>
                </c:pt>
                <c:pt idx="2">
                  <c:v>4.8043782507885448E-4</c:v>
                </c:pt>
                <c:pt idx="3">
                  <c:v>-1.2527142141306163E-4</c:v>
                </c:pt>
                <c:pt idx="4">
                  <c:v>-3.2365838379619962E-4</c:v>
                </c:pt>
                <c:pt idx="5">
                  <c:v>-1.7754754618847193E-4</c:v>
                </c:pt>
                <c:pt idx="6">
                  <c:v>-7.3120795554255632E-4</c:v>
                </c:pt>
                <c:pt idx="7">
                  <c:v>-6.272082958750601E-4</c:v>
                </c:pt>
                <c:pt idx="8">
                  <c:v>-9.5186293173782973E-4</c:v>
                </c:pt>
                <c:pt idx="9">
                  <c:v>-1.0679398184502309E-3</c:v>
                </c:pt>
                <c:pt idx="10">
                  <c:v>-1.1214874906979426E-3</c:v>
                </c:pt>
                <c:pt idx="11">
                  <c:v>-1.38507061761558E-3</c:v>
                </c:pt>
                <c:pt idx="12">
                  <c:v>-1.6601870337291163E-3</c:v>
                </c:pt>
                <c:pt idx="13">
                  <c:v>-1.441923125499937E-3</c:v>
                </c:pt>
                <c:pt idx="14">
                  <c:v>-1.6864295125164691E-3</c:v>
                </c:pt>
                <c:pt idx="15">
                  <c:v>-1.6787203716412396E-3</c:v>
                </c:pt>
                <c:pt idx="16">
                  <c:v>-1.7555734168112017E-3</c:v>
                </c:pt>
                <c:pt idx="17">
                  <c:v>-1.7692552177137409E-3</c:v>
                </c:pt>
                <c:pt idx="18">
                  <c:v>-1.5919679908302643E-3</c:v>
                </c:pt>
                <c:pt idx="19">
                  <c:v>-1.7433269907412329E-3</c:v>
                </c:pt>
                <c:pt idx="20">
                  <c:v>-1.6718312408821306E-3</c:v>
                </c:pt>
                <c:pt idx="21">
                  <c:v>-2.0479563102653812E-3</c:v>
                </c:pt>
                <c:pt idx="22">
                  <c:v>-2.1590423257802482E-3</c:v>
                </c:pt>
                <c:pt idx="23">
                  <c:v>-2.003042053171662E-3</c:v>
                </c:pt>
                <c:pt idx="24">
                  <c:v>-2.2002554442906055E-3</c:v>
                </c:pt>
              </c:numCache>
            </c:numRef>
          </c:val>
          <c:extLst>
            <c:ext xmlns:c16="http://schemas.microsoft.com/office/drawing/2014/chart" uri="{C3380CC4-5D6E-409C-BE32-E72D297353CC}">
              <c16:uniqueId val="{00000000-B32F-498E-BFB6-17900417F880}"/>
            </c:ext>
          </c:extLst>
        </c:ser>
        <c:ser>
          <c:idx val="1"/>
          <c:order val="1"/>
          <c:tx>
            <c:strRef>
              <c:f>'1.1 Population Projections'!$D$297:$D$298</c:f>
              <c:strCache>
                <c:ptCount val="2"/>
                <c:pt idx="0">
                  <c:v>Scotland % Difference</c:v>
                </c:pt>
              </c:strCache>
            </c:strRef>
          </c:tx>
          <c:spPr>
            <a:solidFill>
              <a:schemeClr val="accent2"/>
            </a:solidFill>
            <a:ln>
              <a:noFill/>
            </a:ln>
            <a:effectLst/>
          </c:spPr>
          <c:invertIfNegative val="0"/>
          <c:cat>
            <c:strRef>
              <c:f>'1.1 Population Projections'!$B$299:$B$323</c:f>
              <c:strCache>
                <c:ptCount val="25"/>
                <c:pt idx="0">
                  <c:v>2019</c:v>
                </c:pt>
                <c:pt idx="1">
                  <c:v>2020</c:v>
                </c:pt>
                <c:pt idx="2">
                  <c:v>2021</c:v>
                </c:pt>
                <c:pt idx="3">
                  <c:v>2022</c:v>
                </c:pt>
                <c:pt idx="4">
                  <c:v>2023</c:v>
                </c:pt>
                <c:pt idx="5">
                  <c:v>2024</c:v>
                </c:pt>
                <c:pt idx="6">
                  <c:v>2025</c:v>
                </c:pt>
                <c:pt idx="7">
                  <c:v>2026</c:v>
                </c:pt>
                <c:pt idx="8">
                  <c:v>2027</c:v>
                </c:pt>
                <c:pt idx="9">
                  <c:v>2028</c:v>
                </c:pt>
                <c:pt idx="10">
                  <c:v>2029</c:v>
                </c:pt>
                <c:pt idx="11">
                  <c:v>2030</c:v>
                </c:pt>
                <c:pt idx="12">
                  <c:v>2031</c:v>
                </c:pt>
                <c:pt idx="13">
                  <c:v>2032</c:v>
                </c:pt>
                <c:pt idx="14">
                  <c:v>2033</c:v>
                </c:pt>
                <c:pt idx="15">
                  <c:v>2034</c:v>
                </c:pt>
                <c:pt idx="16">
                  <c:v>2035</c:v>
                </c:pt>
                <c:pt idx="17">
                  <c:v>2036</c:v>
                </c:pt>
                <c:pt idx="18">
                  <c:v>2037</c:v>
                </c:pt>
                <c:pt idx="19">
                  <c:v>2038</c:v>
                </c:pt>
                <c:pt idx="20">
                  <c:v>2039</c:v>
                </c:pt>
                <c:pt idx="21">
                  <c:v>2040</c:v>
                </c:pt>
                <c:pt idx="22">
                  <c:v>2041</c:v>
                </c:pt>
                <c:pt idx="23">
                  <c:v>2042</c:v>
                </c:pt>
                <c:pt idx="24">
                  <c:v>2043</c:v>
                </c:pt>
              </c:strCache>
            </c:strRef>
          </c:cat>
          <c:val>
            <c:numRef>
              <c:f>'1.1 Population Projections'!$D$299:$D$323</c:f>
              <c:numCache>
                <c:formatCode>0.0000%</c:formatCode>
                <c:ptCount val="25"/>
                <c:pt idx="0">
                  <c:v>2.637685956492157E-3</c:v>
                </c:pt>
                <c:pt idx="1">
                  <c:v>2.2439478516423092E-3</c:v>
                </c:pt>
                <c:pt idx="2">
                  <c:v>2.0094501433661521E-3</c:v>
                </c:pt>
                <c:pt idx="3">
                  <c:v>1.8682679348242951E-3</c:v>
                </c:pt>
                <c:pt idx="4">
                  <c:v>1.7659850999564336E-3</c:v>
                </c:pt>
                <c:pt idx="5">
                  <c:v>1.6900861019532431E-3</c:v>
                </c:pt>
                <c:pt idx="6">
                  <c:v>1.6103934228371771E-3</c:v>
                </c:pt>
                <c:pt idx="7">
                  <c:v>1.5151265087107078E-3</c:v>
                </c:pt>
                <c:pt idx="8">
                  <c:v>1.4130532217450473E-3</c:v>
                </c:pt>
                <c:pt idx="9">
                  <c:v>1.3070789137139848E-3</c:v>
                </c:pt>
                <c:pt idx="10">
                  <c:v>1.1829262742554065E-3</c:v>
                </c:pt>
                <c:pt idx="11">
                  <c:v>1.0541760632765394E-3</c:v>
                </c:pt>
                <c:pt idx="12">
                  <c:v>9.3161378211770044E-4</c:v>
                </c:pt>
                <c:pt idx="13">
                  <c:v>8.0544693843749777E-4</c:v>
                </c:pt>
                <c:pt idx="14">
                  <c:v>6.7402342154939407E-4</c:v>
                </c:pt>
                <c:pt idx="15">
                  <c:v>5.5151080344589994E-4</c:v>
                </c:pt>
                <c:pt idx="16">
                  <c:v>4.4682246703134712E-4</c:v>
                </c:pt>
                <c:pt idx="17">
                  <c:v>3.5665182592804897E-4</c:v>
                </c:pt>
                <c:pt idx="18">
                  <c:v>2.7843391960637951E-4</c:v>
                </c:pt>
                <c:pt idx="19">
                  <c:v>2.1320916950182817E-4</c:v>
                </c:pt>
                <c:pt idx="20">
                  <c:v>1.5736076039877406E-4</c:v>
                </c:pt>
                <c:pt idx="21">
                  <c:v>1.1069134910329243E-4</c:v>
                </c:pt>
                <c:pt idx="22">
                  <c:v>6.0451954598250125E-5</c:v>
                </c:pt>
                <c:pt idx="23">
                  <c:v>1.183853954036332E-5</c:v>
                </c:pt>
                <c:pt idx="24">
                  <c:v>-4.6456749125303718E-5</c:v>
                </c:pt>
              </c:numCache>
            </c:numRef>
          </c:val>
          <c:extLst>
            <c:ext xmlns:c16="http://schemas.microsoft.com/office/drawing/2014/chart" uri="{C3380CC4-5D6E-409C-BE32-E72D297353CC}">
              <c16:uniqueId val="{00000001-B32F-498E-BFB6-17900417F880}"/>
            </c:ext>
          </c:extLst>
        </c:ser>
        <c:dLbls>
          <c:showLegendKey val="0"/>
          <c:showVal val="0"/>
          <c:showCatName val="0"/>
          <c:showSerName val="0"/>
          <c:showPercent val="0"/>
          <c:showBubbleSize val="0"/>
        </c:dLbls>
        <c:gapWidth val="150"/>
        <c:overlap val="100"/>
        <c:axId val="919752200"/>
        <c:axId val="919749576"/>
      </c:barChart>
      <c:catAx>
        <c:axId val="919752200"/>
        <c:scaling>
          <c:orientation val="minMax"/>
        </c:scaling>
        <c:delete val="0"/>
        <c:axPos val="b"/>
        <c:numFmt formatCode="General" sourceLinked="0"/>
        <c:majorTickMark val="none"/>
        <c:minorTickMark val="none"/>
        <c:tickLblPos val="low"/>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749576"/>
        <c:crosses val="autoZero"/>
        <c:auto val="1"/>
        <c:lblAlgn val="ctr"/>
        <c:lblOffset val="100"/>
        <c:noMultiLvlLbl val="0"/>
      </c:catAx>
      <c:valAx>
        <c:axId val="91974957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7522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Local Net Migration Within Moray 2004 - 2019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'1.1 Population Projections'!$C$189</c:f>
              <c:strCache>
                <c:ptCount val="1"/>
                <c:pt idx="0">
                  <c:v>Moray</c:v>
                </c:pt>
              </c:strCache>
            </c:strRef>
          </c:tx>
          <c:spPr>
            <a:ln w="28575" cap="rnd">
              <a:solidFill>
                <a:schemeClr val="accent1"/>
              </a:solidFill>
              <a:round/>
            </a:ln>
            <a:effectLst/>
          </c:spPr>
          <c:marker>
            <c:symbol val="none"/>
          </c:marker>
          <c:cat>
            <c:strRef>
              <c:f>'1.1 Population Projections'!$B$190:$B$207</c:f>
              <c:strCache>
                <c:ptCount val="18"/>
                <c:pt idx="0">
                  <c:v>2003-04</c:v>
                </c:pt>
                <c:pt idx="1">
                  <c:v>2004-05</c:v>
                </c:pt>
                <c:pt idx="2">
                  <c:v>2005-06</c:v>
                </c:pt>
                <c:pt idx="3">
                  <c:v>2006-07</c:v>
                </c:pt>
                <c:pt idx="4">
                  <c:v>2007-08</c:v>
                </c:pt>
                <c:pt idx="5">
                  <c:v>2008-09</c:v>
                </c:pt>
                <c:pt idx="6">
                  <c:v>2009-10</c:v>
                </c:pt>
                <c:pt idx="7">
                  <c:v>2010-11</c:v>
                </c:pt>
                <c:pt idx="8">
                  <c:v>2011-12</c:v>
                </c:pt>
                <c:pt idx="9">
                  <c:v>2012-13</c:v>
                </c:pt>
                <c:pt idx="10">
                  <c:v>2013-14</c:v>
                </c:pt>
                <c:pt idx="11">
                  <c:v>2014-15</c:v>
                </c:pt>
                <c:pt idx="12">
                  <c:v>2015-16</c:v>
                </c:pt>
                <c:pt idx="13">
                  <c:v>2016-17</c:v>
                </c:pt>
                <c:pt idx="14">
                  <c:v>2017-18</c:v>
                </c:pt>
                <c:pt idx="15">
                  <c:v>2018-19</c:v>
                </c:pt>
                <c:pt idx="16">
                  <c:v>2019-20</c:v>
                </c:pt>
                <c:pt idx="17">
                  <c:v>2020-21</c:v>
                </c:pt>
              </c:strCache>
            </c:strRef>
          </c:cat>
          <c:val>
            <c:numRef>
              <c:f>'1.1 Population Projections'!$C$190:$C$207</c:f>
              <c:numCache>
                <c:formatCode>General</c:formatCode>
                <c:ptCount val="18"/>
                <c:pt idx="0">
                  <c:v>190</c:v>
                </c:pt>
                <c:pt idx="1">
                  <c:v>-70</c:v>
                </c:pt>
                <c:pt idx="2">
                  <c:v>10</c:v>
                </c:pt>
                <c:pt idx="3">
                  <c:v>-170</c:v>
                </c:pt>
                <c:pt idx="4">
                  <c:v>-60</c:v>
                </c:pt>
                <c:pt idx="5">
                  <c:v>50</c:v>
                </c:pt>
                <c:pt idx="6">
                  <c:v>-100</c:v>
                </c:pt>
                <c:pt idx="7">
                  <c:v>60</c:v>
                </c:pt>
                <c:pt idx="8">
                  <c:v>-120</c:v>
                </c:pt>
                <c:pt idx="9">
                  <c:v>130</c:v>
                </c:pt>
                <c:pt idx="10">
                  <c:v>180</c:v>
                </c:pt>
                <c:pt idx="11">
                  <c:v>270</c:v>
                </c:pt>
                <c:pt idx="12">
                  <c:v>200</c:v>
                </c:pt>
                <c:pt idx="13">
                  <c:v>-60</c:v>
                </c:pt>
                <c:pt idx="14">
                  <c:v>-40</c:v>
                </c:pt>
                <c:pt idx="15">
                  <c:v>-130</c:v>
                </c:pt>
                <c:pt idx="16">
                  <c:v>-190</c:v>
                </c:pt>
                <c:pt idx="17">
                  <c:v>80</c:v>
                </c:pt>
              </c:numCache>
            </c:numRef>
          </c:val>
          <c:smooth val="0"/>
          <c:extLst>
            <c:ext xmlns:c16="http://schemas.microsoft.com/office/drawing/2014/chart" uri="{C3380CC4-5D6E-409C-BE32-E72D297353CC}">
              <c16:uniqueId val="{00000000-481C-4F15-BAF7-4D9EDA29CA0D}"/>
            </c:ext>
          </c:extLst>
        </c:ser>
        <c:dLbls>
          <c:showLegendKey val="0"/>
          <c:showVal val="0"/>
          <c:showCatName val="0"/>
          <c:showSerName val="0"/>
          <c:showPercent val="0"/>
          <c:showBubbleSize val="0"/>
        </c:dLbls>
        <c:smooth val="0"/>
        <c:axId val="853200800"/>
        <c:axId val="853197848"/>
      </c:lineChart>
      <c:catAx>
        <c:axId val="85320080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3197848"/>
        <c:crosses val="autoZero"/>
        <c:auto val="1"/>
        <c:lblAlgn val="ctr"/>
        <c:lblOffset val="100"/>
        <c:noMultiLvlLbl val="0"/>
      </c:catAx>
      <c:valAx>
        <c:axId val="8531978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320080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3.xml"/><Relationship Id="rId7" Type="http://schemas.openxmlformats.org/officeDocument/2006/relationships/chart" Target="../charts/chart17.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chart" Target="../charts/chart1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7.xml"/><Relationship Id="rId3" Type="http://schemas.openxmlformats.org/officeDocument/2006/relationships/chart" Target="../charts/chart22.xml"/><Relationship Id="rId7" Type="http://schemas.openxmlformats.org/officeDocument/2006/relationships/chart" Target="../charts/chart26.xml"/><Relationship Id="rId2" Type="http://schemas.openxmlformats.org/officeDocument/2006/relationships/chart" Target="../charts/chart21.xml"/><Relationship Id="rId1" Type="http://schemas.openxmlformats.org/officeDocument/2006/relationships/chart" Target="../charts/chart20.xml"/><Relationship Id="rId6" Type="http://schemas.openxmlformats.org/officeDocument/2006/relationships/chart" Target="../charts/chart25.xml"/><Relationship Id="rId5" Type="http://schemas.openxmlformats.org/officeDocument/2006/relationships/chart" Target="../charts/chart24.xml"/><Relationship Id="rId4" Type="http://schemas.openxmlformats.org/officeDocument/2006/relationships/chart" Target="../charts/chart23.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5.xml"/><Relationship Id="rId3" Type="http://schemas.openxmlformats.org/officeDocument/2006/relationships/chart" Target="../charts/chart30.xml"/><Relationship Id="rId7" Type="http://schemas.openxmlformats.org/officeDocument/2006/relationships/chart" Target="../charts/chart34.xml"/><Relationship Id="rId2" Type="http://schemas.openxmlformats.org/officeDocument/2006/relationships/chart" Target="../charts/chart29.xml"/><Relationship Id="rId1" Type="http://schemas.openxmlformats.org/officeDocument/2006/relationships/chart" Target="../charts/chart28.xml"/><Relationship Id="rId6" Type="http://schemas.openxmlformats.org/officeDocument/2006/relationships/chart" Target="../charts/chart33.xml"/><Relationship Id="rId5" Type="http://schemas.openxmlformats.org/officeDocument/2006/relationships/chart" Target="../charts/chart32.xml"/><Relationship Id="rId4" Type="http://schemas.openxmlformats.org/officeDocument/2006/relationships/chart" Target="../charts/chart31.xml"/></Relationships>
</file>

<file path=xl/drawings/_rels/drawing6.xml.rels><?xml version="1.0" encoding="UTF-8" standalone="yes"?>
<Relationships xmlns="http://schemas.openxmlformats.org/package/2006/relationships"><Relationship Id="rId8" Type="http://schemas.openxmlformats.org/officeDocument/2006/relationships/chart" Target="../charts/chart43.xml"/><Relationship Id="rId13" Type="http://schemas.openxmlformats.org/officeDocument/2006/relationships/chart" Target="../charts/chart48.xml"/><Relationship Id="rId18" Type="http://schemas.openxmlformats.org/officeDocument/2006/relationships/chart" Target="../charts/chart53.xml"/><Relationship Id="rId3" Type="http://schemas.openxmlformats.org/officeDocument/2006/relationships/chart" Target="../charts/chart38.xml"/><Relationship Id="rId21" Type="http://schemas.openxmlformats.org/officeDocument/2006/relationships/chart" Target="../charts/chart56.xml"/><Relationship Id="rId7" Type="http://schemas.openxmlformats.org/officeDocument/2006/relationships/chart" Target="../charts/chart42.xml"/><Relationship Id="rId12" Type="http://schemas.openxmlformats.org/officeDocument/2006/relationships/chart" Target="../charts/chart47.xml"/><Relationship Id="rId17" Type="http://schemas.openxmlformats.org/officeDocument/2006/relationships/chart" Target="../charts/chart52.xml"/><Relationship Id="rId2" Type="http://schemas.openxmlformats.org/officeDocument/2006/relationships/chart" Target="../charts/chart37.xml"/><Relationship Id="rId16" Type="http://schemas.openxmlformats.org/officeDocument/2006/relationships/chart" Target="../charts/chart51.xml"/><Relationship Id="rId20" Type="http://schemas.openxmlformats.org/officeDocument/2006/relationships/chart" Target="../charts/chart55.xml"/><Relationship Id="rId1" Type="http://schemas.openxmlformats.org/officeDocument/2006/relationships/chart" Target="../charts/chart36.xml"/><Relationship Id="rId6" Type="http://schemas.openxmlformats.org/officeDocument/2006/relationships/chart" Target="../charts/chart41.xml"/><Relationship Id="rId11" Type="http://schemas.openxmlformats.org/officeDocument/2006/relationships/chart" Target="../charts/chart46.xml"/><Relationship Id="rId5" Type="http://schemas.openxmlformats.org/officeDocument/2006/relationships/chart" Target="../charts/chart40.xml"/><Relationship Id="rId15" Type="http://schemas.openxmlformats.org/officeDocument/2006/relationships/chart" Target="../charts/chart50.xml"/><Relationship Id="rId23" Type="http://schemas.openxmlformats.org/officeDocument/2006/relationships/chart" Target="../charts/chart58.xml"/><Relationship Id="rId10" Type="http://schemas.openxmlformats.org/officeDocument/2006/relationships/chart" Target="../charts/chart45.xml"/><Relationship Id="rId19" Type="http://schemas.openxmlformats.org/officeDocument/2006/relationships/chart" Target="../charts/chart54.xml"/><Relationship Id="rId4" Type="http://schemas.openxmlformats.org/officeDocument/2006/relationships/chart" Target="../charts/chart39.xml"/><Relationship Id="rId9" Type="http://schemas.openxmlformats.org/officeDocument/2006/relationships/chart" Target="../charts/chart44.xml"/><Relationship Id="rId14" Type="http://schemas.openxmlformats.org/officeDocument/2006/relationships/chart" Target="../charts/chart49.xml"/><Relationship Id="rId22" Type="http://schemas.openxmlformats.org/officeDocument/2006/relationships/chart" Target="../charts/chart57.xml"/></Relationships>
</file>

<file path=xl/drawings/drawing1.xml><?xml version="1.0" encoding="utf-8"?>
<xdr:wsDr xmlns:xdr="http://schemas.openxmlformats.org/drawingml/2006/spreadsheetDrawing" xmlns:a="http://schemas.openxmlformats.org/drawingml/2006/main">
  <xdr:twoCellAnchor>
    <xdr:from>
      <xdr:col>6</xdr:col>
      <xdr:colOff>736023</xdr:colOff>
      <xdr:row>3</xdr:row>
      <xdr:rowOff>180975</xdr:rowOff>
    </xdr:from>
    <xdr:to>
      <xdr:col>11</xdr:col>
      <xdr:colOff>1176617</xdr:colOff>
      <xdr:row>26</xdr:row>
      <xdr:rowOff>47624</xdr:rowOff>
    </xdr:to>
    <xdr:graphicFrame macro="">
      <xdr:nvGraphicFramePr>
        <xdr:cNvPr id="4" name="Chart 3">
          <a:extLst>
            <a:ext uri="{FF2B5EF4-FFF2-40B4-BE49-F238E27FC236}">
              <a16:creationId xmlns:a16="http://schemas.microsoft.com/office/drawing/2014/main" id="{60BEF444-71BA-496A-B668-870CACB951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316057</xdr:colOff>
      <xdr:row>80</xdr:row>
      <xdr:rowOff>39831</xdr:rowOff>
    </xdr:from>
    <xdr:to>
      <xdr:col>5</xdr:col>
      <xdr:colOff>978477</xdr:colOff>
      <xdr:row>98</xdr:row>
      <xdr:rowOff>121226</xdr:rowOff>
    </xdr:to>
    <xdr:graphicFrame macro="">
      <xdr:nvGraphicFramePr>
        <xdr:cNvPr id="5" name="Chart 4">
          <a:extLst>
            <a:ext uri="{FF2B5EF4-FFF2-40B4-BE49-F238E27FC236}">
              <a16:creationId xmlns:a16="http://schemas.microsoft.com/office/drawing/2014/main" id="{25F93D90-E5CB-4BF3-9E81-840FA35731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12987</xdr:colOff>
      <xdr:row>80</xdr:row>
      <xdr:rowOff>31172</xdr:rowOff>
    </xdr:from>
    <xdr:to>
      <xdr:col>12</xdr:col>
      <xdr:colOff>17317</xdr:colOff>
      <xdr:row>98</xdr:row>
      <xdr:rowOff>173182</xdr:rowOff>
    </xdr:to>
    <xdr:graphicFrame macro="">
      <xdr:nvGraphicFramePr>
        <xdr:cNvPr id="6" name="Chart 5">
          <a:extLst>
            <a:ext uri="{FF2B5EF4-FFF2-40B4-BE49-F238E27FC236}">
              <a16:creationId xmlns:a16="http://schemas.microsoft.com/office/drawing/2014/main" id="{5C73E550-775E-47D6-BA4B-87F01B50BD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524893</xdr:colOff>
      <xdr:row>101</xdr:row>
      <xdr:rowOff>178886</xdr:rowOff>
    </xdr:from>
    <xdr:to>
      <xdr:col>11</xdr:col>
      <xdr:colOff>56029</xdr:colOff>
      <xdr:row>123</xdr:row>
      <xdr:rowOff>78441</xdr:rowOff>
    </xdr:to>
    <xdr:graphicFrame macro="">
      <xdr:nvGraphicFramePr>
        <xdr:cNvPr id="39" name="Chart 6">
          <a:extLst>
            <a:ext uri="{FF2B5EF4-FFF2-40B4-BE49-F238E27FC236}">
              <a16:creationId xmlns:a16="http://schemas.microsoft.com/office/drawing/2014/main" id="{6874DDDF-7DB0-49CC-A598-25C1DEE97DA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965488</xdr:colOff>
      <xdr:row>143</xdr:row>
      <xdr:rowOff>91785</xdr:rowOff>
    </xdr:from>
    <xdr:to>
      <xdr:col>12</xdr:col>
      <xdr:colOff>1437409</xdr:colOff>
      <xdr:row>159</xdr:row>
      <xdr:rowOff>190499</xdr:rowOff>
    </xdr:to>
    <xdr:graphicFrame macro="">
      <xdr:nvGraphicFramePr>
        <xdr:cNvPr id="8" name="Chart 7">
          <a:extLst>
            <a:ext uri="{FF2B5EF4-FFF2-40B4-BE49-F238E27FC236}">
              <a16:creationId xmlns:a16="http://schemas.microsoft.com/office/drawing/2014/main" id="{1DE22334-9115-4558-AFDE-57C1BF7C744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819149</xdr:colOff>
      <xdr:row>187</xdr:row>
      <xdr:rowOff>61912</xdr:rowOff>
    </xdr:from>
    <xdr:to>
      <xdr:col>7</xdr:col>
      <xdr:colOff>2009775</xdr:colOff>
      <xdr:row>208</xdr:row>
      <xdr:rowOff>38100</xdr:rowOff>
    </xdr:to>
    <xdr:graphicFrame macro="">
      <xdr:nvGraphicFramePr>
        <xdr:cNvPr id="9" name="Chart 8">
          <a:extLst>
            <a:ext uri="{FF2B5EF4-FFF2-40B4-BE49-F238E27FC236}">
              <a16:creationId xmlns:a16="http://schemas.microsoft.com/office/drawing/2014/main" id="{07B32567-8D11-45AC-843C-7D3CE4F48F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809624</xdr:colOff>
      <xdr:row>250</xdr:row>
      <xdr:rowOff>33336</xdr:rowOff>
    </xdr:from>
    <xdr:to>
      <xdr:col>10</xdr:col>
      <xdr:colOff>942975</xdr:colOff>
      <xdr:row>271</xdr:row>
      <xdr:rowOff>76200</xdr:rowOff>
    </xdr:to>
    <xdr:graphicFrame macro="">
      <xdr:nvGraphicFramePr>
        <xdr:cNvPr id="11" name="Chart 10">
          <a:extLst>
            <a:ext uri="{FF2B5EF4-FFF2-40B4-BE49-F238E27FC236}">
              <a16:creationId xmlns:a16="http://schemas.microsoft.com/office/drawing/2014/main" id="{D1F107C5-1D6D-40E1-859C-5961EE4328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1438275</xdr:colOff>
      <xdr:row>295</xdr:row>
      <xdr:rowOff>157161</xdr:rowOff>
    </xdr:from>
    <xdr:to>
      <xdr:col>9</xdr:col>
      <xdr:colOff>590550</xdr:colOff>
      <xdr:row>321</xdr:row>
      <xdr:rowOff>66674</xdr:rowOff>
    </xdr:to>
    <xdr:graphicFrame macro="">
      <xdr:nvGraphicFramePr>
        <xdr:cNvPr id="12" name="Chart 11">
          <a:extLst>
            <a:ext uri="{FF2B5EF4-FFF2-40B4-BE49-F238E27FC236}">
              <a16:creationId xmlns:a16="http://schemas.microsoft.com/office/drawing/2014/main" id="{F0955EC1-C4C8-494D-A70D-043305E236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xdr:col>
      <xdr:colOff>133349</xdr:colOff>
      <xdr:row>187</xdr:row>
      <xdr:rowOff>71437</xdr:rowOff>
    </xdr:from>
    <xdr:to>
      <xdr:col>12</xdr:col>
      <xdr:colOff>590549</xdr:colOff>
      <xdr:row>208</xdr:row>
      <xdr:rowOff>57150</xdr:rowOff>
    </xdr:to>
    <xdr:graphicFrame macro="">
      <xdr:nvGraphicFramePr>
        <xdr:cNvPr id="2" name="Chart 1">
          <a:extLst>
            <a:ext uri="{FF2B5EF4-FFF2-40B4-BE49-F238E27FC236}">
              <a16:creationId xmlns:a16="http://schemas.microsoft.com/office/drawing/2014/main" id="{852CAE78-0599-4DA7-8EA1-6B212E8D6B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0</xdr:colOff>
      <xdr:row>327</xdr:row>
      <xdr:rowOff>0</xdr:rowOff>
    </xdr:from>
    <xdr:to>
      <xdr:col>8</xdr:col>
      <xdr:colOff>1733389</xdr:colOff>
      <xdr:row>354</xdr:row>
      <xdr:rowOff>78441</xdr:rowOff>
    </xdr:to>
    <xdr:sp macro="" textlink="">
      <xdr:nvSpPr>
        <xdr:cNvPr id="13" name="TextBox 12">
          <a:extLst>
            <a:ext uri="{FF2B5EF4-FFF2-40B4-BE49-F238E27FC236}">
              <a16:creationId xmlns:a16="http://schemas.microsoft.com/office/drawing/2014/main" id="{110412D3-7CFF-4B20-985D-1EF9A48CD944}"/>
            </a:ext>
          </a:extLst>
        </xdr:cNvPr>
        <xdr:cNvSpPr txBox="1"/>
      </xdr:nvSpPr>
      <xdr:spPr>
        <a:xfrm>
          <a:off x="324971" y="60052324"/>
          <a:ext cx="12502242" cy="4919382"/>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chemeClr val="dk1"/>
              </a:solidFill>
              <a:effectLst/>
              <a:latin typeface="Arial" panose="020B0604020202020204" pitchFamily="34" charset="0"/>
              <a:ea typeface="+mn-ea"/>
              <a:cs typeface="Arial" panose="020B0604020202020204" pitchFamily="34" charset="0"/>
            </a:rPr>
            <a:t>Key Findings: 1.1 Population Projections Moray</a:t>
          </a:r>
        </a:p>
        <a:p>
          <a:endParaRPr lang="en-GB" sz="1200">
            <a:solidFill>
              <a:schemeClr val="dk1"/>
            </a:solidFill>
            <a:effectLst/>
            <a:latin typeface="Arial" panose="020B0604020202020204" pitchFamily="34" charset="0"/>
            <a:ea typeface="+mn-ea"/>
            <a:cs typeface="Arial" panose="020B0604020202020204" pitchFamily="34" charset="0"/>
          </a:endParaRPr>
        </a:p>
        <a:p>
          <a:endParaRPr lang="en-GB" sz="1200">
            <a:solidFill>
              <a:schemeClr val="dk1"/>
            </a:solidFill>
            <a:effectLst/>
            <a:latin typeface="Arial" panose="020B0604020202020204" pitchFamily="34" charset="0"/>
            <a:ea typeface="+mn-ea"/>
            <a:cs typeface="Arial" panose="020B0604020202020204" pitchFamily="34"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The Moray population has grown by 11% between 2001 and 2021 compared with 8% nationally (Table 1.1.1)</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The rate of population growth in Moray has slowed since 2001, with 3.15% growth between 2011 and 2021 relative to 10.82% across the last 20 years (Table 1.1.2).</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Between 2011 and 2021, inward migration exceeds the natural change rate across Moray by approximately 2000 individuals, resulting in overall population growth (Table 1.1.3). </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Since 2001, population change across Moray has been driven by an aging population with an 86% increase in those aged 85+ - almost double Scotland's rate of 48%. The 65+ age group has increase by 52% between 2001 and 2021 (Table 1.1.4c).</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There has been a 9% overall reduction in the number of young people aged 0-15 across Moray relative to an overall reduction in Scotland of 6% (Table 1.1.4c).</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Across Moray, there has been a slower rate of growth of the working age population (7%) relative to those aged over 65 (52%) between 2001 and 2021 (Table 1.4c).</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Population ageing is projected to continue with a 56% increase in those aged over 65 between 2022 and 2042. Notably, during this same period growth is expected to turn negative for those of working age with a -14% decline across Moray (Table 1.1.5e)</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Across the period between 2022 and 2042 in Moray, it is projected that the population of Males aged 85+ will increase by double at 101% (Table 1.1.5e).</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Since 2003, there has been an approximate 58% decrease in the rate of local migration across Moray (Table 1.1.9).</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On average Working age people (16-64) have had the highest net migration rates across Moray, with a 137% difference in net migration between this group and those aged 65+ (Tables 1.1.10).</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The Moray population is set to marginally decrease by about -2.7% between 2018 and 2043 (Table 1.1.14).</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Despite the overall trend towards decreasing population size in Moray, there is projected to be an average increase in the over 75 age group of 84% (Table 1.1.11).</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Between 2018- 2043, the average annual change in the population of Moray is projected to be  -102.</a:t>
          </a:r>
        </a:p>
        <a:p>
          <a:endParaRPr lang="en-GB" sz="1100">
            <a:latin typeface="Arial" panose="020B0604020202020204" pitchFamily="34" charset="0"/>
            <a:cs typeface="Arial" panose="020B0604020202020204" pitchFamily="34" charset="0"/>
          </a:endParaRPr>
        </a:p>
      </xdr:txBody>
    </xdr:sp>
    <xdr:clientData/>
  </xdr:twoCellAnchor>
  <xdr:twoCellAnchor>
    <xdr:from>
      <xdr:col>12</xdr:col>
      <xdr:colOff>72836</xdr:colOff>
      <xdr:row>3</xdr:row>
      <xdr:rowOff>169207</xdr:rowOff>
    </xdr:from>
    <xdr:to>
      <xdr:col>17</xdr:col>
      <xdr:colOff>414617</xdr:colOff>
      <xdr:row>26</xdr:row>
      <xdr:rowOff>22411</xdr:rowOff>
    </xdr:to>
    <xdr:graphicFrame macro="">
      <xdr:nvGraphicFramePr>
        <xdr:cNvPr id="3" name="Chart 2">
          <a:extLst>
            <a:ext uri="{FF2B5EF4-FFF2-40B4-BE49-F238E27FC236}">
              <a16:creationId xmlns:a16="http://schemas.microsoft.com/office/drawing/2014/main" id="{8CB3EAAF-68E2-F8F6-DEEE-625E75C520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133350</xdr:colOff>
      <xdr:row>35</xdr:row>
      <xdr:rowOff>195262</xdr:rowOff>
    </xdr:from>
    <xdr:to>
      <xdr:col>10</xdr:col>
      <xdr:colOff>85725</xdr:colOff>
      <xdr:row>58</xdr:row>
      <xdr:rowOff>9525</xdr:rowOff>
    </xdr:to>
    <xdr:graphicFrame macro="">
      <xdr:nvGraphicFramePr>
        <xdr:cNvPr id="2" name="Chart 1">
          <a:extLst>
            <a:ext uri="{FF2B5EF4-FFF2-40B4-BE49-F238E27FC236}">
              <a16:creationId xmlns:a16="http://schemas.microsoft.com/office/drawing/2014/main" id="{678F133A-A8B0-4CCD-8CDD-FE65E81A06E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568698</xdr:colOff>
      <xdr:row>109</xdr:row>
      <xdr:rowOff>11204</xdr:rowOff>
    </xdr:from>
    <xdr:to>
      <xdr:col>8</xdr:col>
      <xdr:colOff>597273</xdr:colOff>
      <xdr:row>127</xdr:row>
      <xdr:rowOff>8403</xdr:rowOff>
    </xdr:to>
    <xdr:graphicFrame macro="">
      <xdr:nvGraphicFramePr>
        <xdr:cNvPr id="6" name="Chart 4">
          <a:extLst>
            <a:ext uri="{FF2B5EF4-FFF2-40B4-BE49-F238E27FC236}">
              <a16:creationId xmlns:a16="http://schemas.microsoft.com/office/drawing/2014/main" id="{86A5737B-B524-496F-8CE7-D91CB3F6B9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558052</xdr:colOff>
      <xdr:row>146</xdr:row>
      <xdr:rowOff>11206</xdr:rowOff>
    </xdr:from>
    <xdr:to>
      <xdr:col>8</xdr:col>
      <xdr:colOff>529477</xdr:colOff>
      <xdr:row>162</xdr:row>
      <xdr:rowOff>78441</xdr:rowOff>
    </xdr:to>
    <xdr:graphicFrame macro="">
      <xdr:nvGraphicFramePr>
        <xdr:cNvPr id="14" name="Chart 6">
          <a:extLst>
            <a:ext uri="{FF2B5EF4-FFF2-40B4-BE49-F238E27FC236}">
              <a16:creationId xmlns:a16="http://schemas.microsoft.com/office/drawing/2014/main" id="{192387FA-F858-435C-971E-9D567E06E72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829795</xdr:colOff>
      <xdr:row>181</xdr:row>
      <xdr:rowOff>89647</xdr:rowOff>
    </xdr:from>
    <xdr:to>
      <xdr:col>8</xdr:col>
      <xdr:colOff>572620</xdr:colOff>
      <xdr:row>199</xdr:row>
      <xdr:rowOff>62752</xdr:rowOff>
    </xdr:to>
    <xdr:graphicFrame macro="">
      <xdr:nvGraphicFramePr>
        <xdr:cNvPr id="18" name="Chart 7">
          <a:extLst>
            <a:ext uri="{FF2B5EF4-FFF2-40B4-BE49-F238E27FC236}">
              <a16:creationId xmlns:a16="http://schemas.microsoft.com/office/drawing/2014/main" id="{588EDFF9-A552-4D9D-8132-4094607507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541804</xdr:colOff>
      <xdr:row>220</xdr:row>
      <xdr:rowOff>52386</xdr:rowOff>
    </xdr:from>
    <xdr:to>
      <xdr:col>8</xdr:col>
      <xdr:colOff>227479</xdr:colOff>
      <xdr:row>236</xdr:row>
      <xdr:rowOff>168088</xdr:rowOff>
    </xdr:to>
    <xdr:graphicFrame macro="">
      <xdr:nvGraphicFramePr>
        <xdr:cNvPr id="20" name="Chart 8">
          <a:extLst>
            <a:ext uri="{FF2B5EF4-FFF2-40B4-BE49-F238E27FC236}">
              <a16:creationId xmlns:a16="http://schemas.microsoft.com/office/drawing/2014/main" id="{D425D9FA-7861-4918-A100-D7F09C08BAB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560294</xdr:colOff>
      <xdr:row>320</xdr:row>
      <xdr:rowOff>78443</xdr:rowOff>
    </xdr:from>
    <xdr:to>
      <xdr:col>7</xdr:col>
      <xdr:colOff>1467969</xdr:colOff>
      <xdr:row>343</xdr:row>
      <xdr:rowOff>134471</xdr:rowOff>
    </xdr:to>
    <xdr:sp macro="" textlink="">
      <xdr:nvSpPr>
        <xdr:cNvPr id="11" name="TextBox 9">
          <a:extLst>
            <a:ext uri="{FF2B5EF4-FFF2-40B4-BE49-F238E27FC236}">
              <a16:creationId xmlns:a16="http://schemas.microsoft.com/office/drawing/2014/main" id="{1E17FA20-F3AB-4DCF-82BC-E035C2C23118}"/>
            </a:ext>
          </a:extLst>
        </xdr:cNvPr>
        <xdr:cNvSpPr txBox="1"/>
      </xdr:nvSpPr>
      <xdr:spPr>
        <a:xfrm>
          <a:off x="560294" y="59492031"/>
          <a:ext cx="12561793" cy="4179793"/>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chemeClr val="dk1"/>
              </a:solidFill>
              <a:effectLst/>
              <a:latin typeface="Arial" panose="020B0604020202020204" pitchFamily="34" charset="0"/>
              <a:ea typeface="+mn-ea"/>
              <a:cs typeface="Arial" panose="020B0604020202020204" pitchFamily="34" charset="0"/>
            </a:rPr>
            <a:t>Key Findings: 1.2-1.4 Household Projections Moray</a:t>
          </a:r>
        </a:p>
        <a:p>
          <a:endParaRPr lang="en-GB" sz="1200">
            <a:solidFill>
              <a:schemeClr val="dk1"/>
            </a:solidFill>
            <a:effectLst/>
            <a:latin typeface="Arial" panose="020B0604020202020204" pitchFamily="34" charset="0"/>
            <a:ea typeface="+mn-ea"/>
            <a:cs typeface="Arial" panose="020B0604020202020204" pitchFamily="34"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In 2021, there were an estimated 43,590 households living in Moray, an increase of 9% since 2011 (Table 1.2).</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Across Moray between 2011-20, there has been a 26% growth in 2 adult households, with a 30% and 28% reduction in households with 3+ adults and 1 adult with 1+ children respectively (Table 1.2.1).</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The number of households in Moray  are expected to increase modestly by 5% between 2022 and 2042 compared</a:t>
          </a:r>
          <a:r>
            <a:rPr lang="en-GB" sz="1200" baseline="0">
              <a:effectLst/>
              <a:latin typeface="Arial" panose="020B0604020202020204" pitchFamily="34" charset="0"/>
              <a:ea typeface="Calibri" panose="020F0502020204030204" pitchFamily="34" charset="0"/>
              <a:cs typeface="Arial" panose="020B0604020202020204" pitchFamily="34" charset="0"/>
            </a:rPr>
            <a:t> with a national increase in households of 7%.</a:t>
          </a:r>
          <a:r>
            <a:rPr lang="en-GB" sz="1200">
              <a:effectLst/>
              <a:latin typeface="Arial" panose="020B0604020202020204" pitchFamily="34" charset="0"/>
              <a:ea typeface="Calibri" panose="020F0502020204030204" pitchFamily="34" charset="0"/>
              <a:cs typeface="Arial" panose="020B0604020202020204" pitchFamily="34" charset="0"/>
            </a:rPr>
            <a:t> </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Moray experienced an approximate 9% decrease in average household size between 2001 and 2021 compared to Scotland's decrease rate of 6.6% (Table 1.2.3).</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Between 2018 and 2043, the number of 75+ year old head of households in Moray will grow by 87% by 2043, every other age range will decrease. Despite this, there is still an 8% overall increase in households compared to a 9% increase across Scotland in the same period (Table 1.3.3).</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Single Person and 2 Adult households will be subject to the greatest growth levels in Moray with 17% and 11% projected between 2018-38 respectively (Table 1.3.6)</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The differential in the number of households projected by 'Low migration' and 'High migration' scenarios for Moray is almost 1,039 by 2042 (Table 1.3.13) </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Moray is expected to have an 87% increase in households with head of household aged 75+ by 2043 (Table 1.4)</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According to AJ survey results, the dominating age band in Moray lies between 55 to 74 years of age. (Table 1.4.1a)</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27% of households have a desire to move in the next 2 years. (Table 1.4.2b)</a:t>
          </a:r>
        </a:p>
        <a:p>
          <a:pPr>
            <a:lnSpc>
              <a:spcPct val="107000"/>
            </a:lnSpc>
            <a:spcAft>
              <a:spcPts val="800"/>
            </a:spcAft>
          </a:pPr>
          <a:r>
            <a:rPr lang="en-GB" sz="1100" b="1">
              <a:effectLst/>
              <a:latin typeface="Calibri" panose="020F0502020204030204" pitchFamily="34" charset="0"/>
              <a:ea typeface="Calibri" panose="020F0502020204030204" pitchFamily="34" charset="0"/>
              <a:cs typeface="Times New Roman" panose="02020603050405020304" pitchFamily="18" charset="0"/>
            </a:rPr>
            <a:t>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endParaRPr lang="en-GB" sz="1100">
            <a:latin typeface="Arial" panose="020B0604020202020204" pitchFamily="34" charset="0"/>
            <a:cs typeface="Arial" panose="020B0604020202020204" pitchFamily="34" charset="0"/>
          </a:endParaRPr>
        </a:p>
      </xdr:txBody>
    </xdr:sp>
    <xdr:clientData/>
  </xdr:twoCellAnchor>
  <xdr:twoCellAnchor>
    <xdr:from>
      <xdr:col>3</xdr:col>
      <xdr:colOff>1238249</xdr:colOff>
      <xdr:row>13</xdr:row>
      <xdr:rowOff>52387</xdr:rowOff>
    </xdr:from>
    <xdr:to>
      <xdr:col>7</xdr:col>
      <xdr:colOff>504824</xdr:colOff>
      <xdr:row>32</xdr:row>
      <xdr:rowOff>9525</xdr:rowOff>
    </xdr:to>
    <xdr:graphicFrame macro="">
      <xdr:nvGraphicFramePr>
        <xdr:cNvPr id="12" name="Chart 11">
          <a:extLst>
            <a:ext uri="{FF2B5EF4-FFF2-40B4-BE49-F238E27FC236}">
              <a16:creationId xmlns:a16="http://schemas.microsoft.com/office/drawing/2014/main" id="{67F9DB79-3D2F-4EE5-AB7A-883EB5A249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700366</xdr:colOff>
      <xdr:row>240</xdr:row>
      <xdr:rowOff>12325</xdr:rowOff>
    </xdr:from>
    <xdr:to>
      <xdr:col>10</xdr:col>
      <xdr:colOff>470647</xdr:colOff>
      <xdr:row>261</xdr:row>
      <xdr:rowOff>156882</xdr:rowOff>
    </xdr:to>
    <xdr:graphicFrame macro="">
      <xdr:nvGraphicFramePr>
        <xdr:cNvPr id="3" name="Chart 2">
          <a:extLst>
            <a:ext uri="{FF2B5EF4-FFF2-40B4-BE49-F238E27FC236}">
              <a16:creationId xmlns:a16="http://schemas.microsoft.com/office/drawing/2014/main" id="{1452724D-748C-1649-E9EF-B2F5423A0C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361950</xdr:colOff>
      <xdr:row>4</xdr:row>
      <xdr:rowOff>95249</xdr:rowOff>
    </xdr:from>
    <xdr:to>
      <xdr:col>19</xdr:col>
      <xdr:colOff>266700</xdr:colOff>
      <xdr:row>21</xdr:row>
      <xdr:rowOff>142874</xdr:rowOff>
    </xdr:to>
    <xdr:graphicFrame macro="">
      <xdr:nvGraphicFramePr>
        <xdr:cNvPr id="2" name="Chart 1">
          <a:extLst>
            <a:ext uri="{FF2B5EF4-FFF2-40B4-BE49-F238E27FC236}">
              <a16:creationId xmlns:a16="http://schemas.microsoft.com/office/drawing/2014/main" id="{2BFE608A-E9E3-4D9C-ACEE-6B865D851EC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790574</xdr:colOff>
      <xdr:row>22</xdr:row>
      <xdr:rowOff>38100</xdr:rowOff>
    </xdr:from>
    <xdr:to>
      <xdr:col>19</xdr:col>
      <xdr:colOff>171449</xdr:colOff>
      <xdr:row>40</xdr:row>
      <xdr:rowOff>57150</xdr:rowOff>
    </xdr:to>
    <xdr:graphicFrame macro="">
      <xdr:nvGraphicFramePr>
        <xdr:cNvPr id="3" name="Chart 2">
          <a:extLst>
            <a:ext uri="{FF2B5EF4-FFF2-40B4-BE49-F238E27FC236}">
              <a16:creationId xmlns:a16="http://schemas.microsoft.com/office/drawing/2014/main" id="{4D47BD11-7F8E-4FAB-8CD7-C30C92EDB8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266699</xdr:colOff>
      <xdr:row>4</xdr:row>
      <xdr:rowOff>33337</xdr:rowOff>
    </xdr:from>
    <xdr:to>
      <xdr:col>13</xdr:col>
      <xdr:colOff>200024</xdr:colOff>
      <xdr:row>25</xdr:row>
      <xdr:rowOff>123825</xdr:rowOff>
    </xdr:to>
    <xdr:graphicFrame macro="">
      <xdr:nvGraphicFramePr>
        <xdr:cNvPr id="2" name="Chart 1">
          <a:extLst>
            <a:ext uri="{FF2B5EF4-FFF2-40B4-BE49-F238E27FC236}">
              <a16:creationId xmlns:a16="http://schemas.microsoft.com/office/drawing/2014/main" id="{185010AE-55FB-4927-8F8A-A96FC3A273A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323850</xdr:colOff>
      <xdr:row>46</xdr:row>
      <xdr:rowOff>147636</xdr:rowOff>
    </xdr:from>
    <xdr:to>
      <xdr:col>18</xdr:col>
      <xdr:colOff>38100</xdr:colOff>
      <xdr:row>65</xdr:row>
      <xdr:rowOff>47625</xdr:rowOff>
    </xdr:to>
    <xdr:graphicFrame macro="">
      <xdr:nvGraphicFramePr>
        <xdr:cNvPr id="3" name="Chart 2">
          <a:extLst>
            <a:ext uri="{FF2B5EF4-FFF2-40B4-BE49-F238E27FC236}">
              <a16:creationId xmlns:a16="http://schemas.microsoft.com/office/drawing/2014/main" id="{BA696A41-D2BD-4C3C-8CBF-CEE34412BB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952500</xdr:colOff>
      <xdr:row>67</xdr:row>
      <xdr:rowOff>57150</xdr:rowOff>
    </xdr:from>
    <xdr:to>
      <xdr:col>18</xdr:col>
      <xdr:colOff>571501</xdr:colOff>
      <xdr:row>81</xdr:row>
      <xdr:rowOff>179295</xdr:rowOff>
    </xdr:to>
    <xdr:graphicFrame macro="">
      <xdr:nvGraphicFramePr>
        <xdr:cNvPr id="4" name="Chart 3">
          <a:extLst>
            <a:ext uri="{FF2B5EF4-FFF2-40B4-BE49-F238E27FC236}">
              <a16:creationId xmlns:a16="http://schemas.microsoft.com/office/drawing/2014/main" id="{9BB684F7-F625-4F6F-912B-308FC88F6F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581024</xdr:colOff>
      <xdr:row>46</xdr:row>
      <xdr:rowOff>176212</xdr:rowOff>
    </xdr:from>
    <xdr:to>
      <xdr:col>11</xdr:col>
      <xdr:colOff>238125</xdr:colOff>
      <xdr:row>65</xdr:row>
      <xdr:rowOff>38100</xdr:rowOff>
    </xdr:to>
    <xdr:graphicFrame macro="">
      <xdr:nvGraphicFramePr>
        <xdr:cNvPr id="5" name="Chart 4">
          <a:extLst>
            <a:ext uri="{FF2B5EF4-FFF2-40B4-BE49-F238E27FC236}">
              <a16:creationId xmlns:a16="http://schemas.microsoft.com/office/drawing/2014/main" id="{6F76D8F2-0AEF-4F3E-906E-78798C7C1DA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409576</xdr:colOff>
      <xdr:row>67</xdr:row>
      <xdr:rowOff>47625</xdr:rowOff>
    </xdr:from>
    <xdr:to>
      <xdr:col>11</xdr:col>
      <xdr:colOff>781051</xdr:colOff>
      <xdr:row>81</xdr:row>
      <xdr:rowOff>145677</xdr:rowOff>
    </xdr:to>
    <xdr:graphicFrame macro="">
      <xdr:nvGraphicFramePr>
        <xdr:cNvPr id="6" name="Chart 5">
          <a:extLst>
            <a:ext uri="{FF2B5EF4-FFF2-40B4-BE49-F238E27FC236}">
              <a16:creationId xmlns:a16="http://schemas.microsoft.com/office/drawing/2014/main" id="{1216A5DB-C7EF-4EE6-A2AD-1ED1512B35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561974</xdr:colOff>
      <xdr:row>94</xdr:row>
      <xdr:rowOff>95249</xdr:rowOff>
    </xdr:from>
    <xdr:to>
      <xdr:col>18</xdr:col>
      <xdr:colOff>235323</xdr:colOff>
      <xdr:row>115</xdr:row>
      <xdr:rowOff>257736</xdr:rowOff>
    </xdr:to>
    <xdr:graphicFrame macro="">
      <xdr:nvGraphicFramePr>
        <xdr:cNvPr id="22" name="Chart 84">
          <a:extLst>
            <a:ext uri="{FF2B5EF4-FFF2-40B4-BE49-F238E27FC236}">
              <a16:creationId xmlns:a16="http://schemas.microsoft.com/office/drawing/2014/main" id="{45057FA1-C858-4286-ABE8-6EC36C3421F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215152</xdr:colOff>
      <xdr:row>115</xdr:row>
      <xdr:rowOff>492778</xdr:rowOff>
    </xdr:from>
    <xdr:to>
      <xdr:col>15</xdr:col>
      <xdr:colOff>243727</xdr:colOff>
      <xdr:row>130</xdr:row>
      <xdr:rowOff>164166</xdr:rowOff>
    </xdr:to>
    <xdr:graphicFrame macro="">
      <xdr:nvGraphicFramePr>
        <xdr:cNvPr id="24" name="Chart 23">
          <a:extLst>
            <a:ext uri="{FF2B5EF4-FFF2-40B4-BE49-F238E27FC236}">
              <a16:creationId xmlns:a16="http://schemas.microsoft.com/office/drawing/2014/main" id="{5C3493F0-D9C6-48B3-8FFF-057C98399C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268</xdr:row>
      <xdr:rowOff>1679</xdr:rowOff>
    </xdr:from>
    <xdr:to>
      <xdr:col>10</xdr:col>
      <xdr:colOff>414617</xdr:colOff>
      <xdr:row>331</xdr:row>
      <xdr:rowOff>89646</xdr:rowOff>
    </xdr:to>
    <xdr:sp macro="" textlink="">
      <xdr:nvSpPr>
        <xdr:cNvPr id="11" name="TextBox 25">
          <a:extLst>
            <a:ext uri="{FF2B5EF4-FFF2-40B4-BE49-F238E27FC236}">
              <a16:creationId xmlns:a16="http://schemas.microsoft.com/office/drawing/2014/main" id="{CE1C328F-A3E6-446B-80AD-5F4A7BCF9106}"/>
            </a:ext>
          </a:extLst>
        </xdr:cNvPr>
        <xdr:cNvSpPr txBox="1"/>
      </xdr:nvSpPr>
      <xdr:spPr>
        <a:xfrm>
          <a:off x="324971" y="58003326"/>
          <a:ext cx="11373970" cy="11383496"/>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chemeClr val="dk1"/>
              </a:solidFill>
              <a:effectLst/>
              <a:latin typeface="Arial" panose="020B0604020202020204" pitchFamily="34" charset="0"/>
              <a:ea typeface="+mn-ea"/>
              <a:cs typeface="Arial" panose="020B0604020202020204" pitchFamily="34" charset="0"/>
            </a:rPr>
            <a:t>Key Findings: 1.5-1.9 Housing Affordability Moray</a:t>
          </a:r>
        </a:p>
        <a:p>
          <a:endParaRPr lang="en-GB" sz="1200">
            <a:solidFill>
              <a:schemeClr val="dk1"/>
            </a:solidFill>
            <a:effectLst/>
            <a:latin typeface="Arial" panose="020B0604020202020204" pitchFamily="34" charset="0"/>
            <a:ea typeface="+mn-ea"/>
            <a:cs typeface="Arial" panose="020B0604020202020204" pitchFamily="34" charset="0"/>
          </a:endParaRPr>
        </a:p>
        <a:p>
          <a:endParaRPr lang="en-GB" sz="1100" b="1">
            <a:solidFill>
              <a:schemeClr val="dk1"/>
            </a:solidFill>
            <a:effectLst/>
            <a:latin typeface="Arial" panose="020B0604020202020204" pitchFamily="34" charset="0"/>
            <a:ea typeface="+mn-ea"/>
            <a:cs typeface="Arial" panose="020B0604020202020204" pitchFamily="34"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Times New Roman" panose="02020603050405020304" pitchFamily="18" charset="0"/>
            </a:rPr>
            <a:t>Since 2004, there has been a 2.25% overall decrease in rates of house sales in Moray (Table 1.5.1).</a:t>
          </a:r>
          <a:endParaRPr lang="en-GB" sz="12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Times New Roman" panose="02020603050405020304" pitchFamily="18" charset="0"/>
            </a:rPr>
            <a:t>However, there was a huge increase of 66.58% and 36.74% comparing the volume of house sales between 2011 - 2021 and 2020 - 2021, respectively (Tables 1.5.1a - c).</a:t>
          </a:r>
          <a:endParaRPr lang="en-GB" sz="12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Times New Roman" panose="02020603050405020304" pitchFamily="18" charset="0"/>
            </a:rPr>
            <a:t>House prices have grown steadily in Moray over the last 10 years and on average by 34% (Table 1.5.2).</a:t>
          </a:r>
          <a:endParaRPr lang="en-GB" sz="12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a:solidFill>
                <a:schemeClr val="dk1"/>
              </a:solidFill>
              <a:effectLst/>
              <a:latin typeface="Arial" panose="020B0604020202020204" pitchFamily="34" charset="0"/>
              <a:ea typeface="+mn-ea"/>
              <a:cs typeface="Arial" panose="020B0604020202020204" pitchFamily="34" charset="0"/>
            </a:rPr>
            <a:t>House sales analysis show the range in average house prices across Moray from £139k in Cairngorms NP to £175k in Forres (Table 1.5.4)</a:t>
          </a:r>
          <a:endParaRPr lang="en-GB" sz="1200">
            <a:effectLst/>
            <a:latin typeface="Arial" panose="020B0604020202020204" pitchFamily="34" charset="0"/>
            <a:ea typeface="Calibri" panose="020F0502020204030204" pitchFamily="34" charset="0"/>
            <a:cs typeface="Arial" panose="020B0604020202020204" pitchFamily="34"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Times New Roman" panose="02020603050405020304" pitchFamily="18" charset="0"/>
            </a:rPr>
            <a:t>Moray monthly private rents changed from £574.75 in 2011 to £696.00 in 2021. This means the average rental price has risen by £121.00 in Moray between 2011 and 2021 which is lower than the national increase of £185.50 over the same ten year period (Table 1.6.1)</a:t>
          </a:r>
          <a:endParaRPr lang="en-GB" sz="12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a:effectLst/>
              <a:latin typeface="Arial" panose="020B0604020202020204" pitchFamily="34" charset="0"/>
              <a:ea typeface="MS PGothic" panose="020B0600070205080204" pitchFamily="34" charset="-128"/>
              <a:cs typeface="Times New Roman" panose="02020603050405020304" pitchFamily="18" charset="0"/>
            </a:rPr>
            <a:t>The average private rented sector rent in Moray in 2021 was £696.00. This is an increase of just under 20% since 2011, and a rise of just under 1% since 2020 (Table 1.6.2b and Table 1.6.2c) </a:t>
          </a:r>
          <a:endParaRPr lang="en-GB" sz="12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a:effectLst/>
              <a:latin typeface="Arial" panose="020B0604020202020204" pitchFamily="34" charset="0"/>
              <a:ea typeface="MS PGothic" panose="020B0600070205080204" pitchFamily="34" charset="-128"/>
              <a:cs typeface="Times New Roman" panose="02020603050405020304" pitchFamily="18" charset="0"/>
            </a:rPr>
            <a:t>The two Local Housing Allowance rates applicable for Moray, Highlands and Islands, and Aberdeen and Shire are lower than the average private rent in Moray by -16% and -1% respectively (Table 1.7.4)</a:t>
          </a:r>
          <a:endParaRPr lang="en-GB" sz="12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a:effectLst/>
              <a:latin typeface="Arial" panose="020B0604020202020204" pitchFamily="34" charset="0"/>
              <a:ea typeface="MS PGothic" panose="020B0600070205080204" pitchFamily="34" charset="-128"/>
              <a:cs typeface="Times New Roman" panose="02020603050405020304" pitchFamily="18" charset="0"/>
            </a:rPr>
            <a:t>The LHS rate to rent ratio is higher for private rented households receiving the LHS rate for Highlands and Islands at 1.2 than for Aberdeen and Shire at 1 (Table 1. 7.1)</a:t>
          </a:r>
          <a:endParaRPr lang="en-GB" sz="12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Times New Roman" panose="02020603050405020304" pitchFamily="18" charset="0"/>
            </a:rPr>
            <a:t>Moray Council monthly average rents are £277.85 (Table 1.7.2)</a:t>
          </a:r>
          <a:endParaRPr lang="en-GB" sz="12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Times New Roman" panose="02020603050405020304" pitchFamily="18" charset="0"/>
            </a:rPr>
            <a:t>RSL monthly rents are on average, 54% higher than local authority rents across Moray, with a monthly average at £427.94 (Table 1.7.4)</a:t>
          </a:r>
          <a:endParaRPr lang="en-GB" sz="12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Bef>
              <a:spcPts val="300"/>
            </a:spcBef>
            <a:spcAft>
              <a:spcPts val="300"/>
            </a:spcAft>
          </a:pPr>
          <a:r>
            <a:rPr lang="en-GB" sz="1200">
              <a:effectLst/>
              <a:latin typeface="Arial" panose="020B0604020202020204" pitchFamily="34" charset="0"/>
              <a:ea typeface="MS PGothic" panose="020B0600070205080204" pitchFamily="34" charset="-128"/>
              <a:cs typeface="Times New Roman" panose="02020603050405020304" pitchFamily="18" charset="0"/>
            </a:rPr>
            <a:t>According to Scottish Government income estimates for 2018, median incomes across Moray are higher at £30,160 when compared with the Scotland median of £28,600 (Table 1.8.2b) Between 2014-18, Moray median household incomes remained static at £30,16.</a:t>
          </a:r>
          <a:r>
            <a:rPr lang="en-GB" sz="1200" baseline="0">
              <a:effectLst/>
              <a:latin typeface="Arial" panose="020B0604020202020204" pitchFamily="34" charset="0"/>
              <a:ea typeface="MS PGothic" panose="020B0600070205080204" pitchFamily="34" charset="-128"/>
              <a:cs typeface="Times New Roman" panose="02020603050405020304" pitchFamily="18" charset="0"/>
            </a:rPr>
            <a:t> Across the Moray HMA </a:t>
          </a:r>
          <a:r>
            <a:rPr lang="en-GB" sz="1200" baseline="0">
              <a:effectLst/>
              <a:latin typeface="Arial" panose="020B0604020202020204" pitchFamily="34" charset="0"/>
              <a:ea typeface="MS PGothic" panose="020B0600070205080204" pitchFamily="34" charset="-128"/>
              <a:cs typeface="+mn-cs"/>
            </a:rPr>
            <a:t>M</a:t>
          </a:r>
          <a:r>
            <a:rPr lang="en-GB" sz="1200">
              <a:effectLst/>
              <a:latin typeface="Arial" panose="020B0604020202020204" pitchFamily="34" charset="0"/>
              <a:ea typeface="MS PGothic" panose="020B0600070205080204" pitchFamily="34" charset="-128"/>
            </a:rPr>
            <a:t>edian incomes range from the highest</a:t>
          </a:r>
          <a:r>
            <a:rPr lang="en-GB" sz="1200" baseline="0">
              <a:effectLst/>
              <a:latin typeface="Arial" panose="020B0604020202020204" pitchFamily="34" charset="0"/>
              <a:ea typeface="MS PGothic" panose="020B0600070205080204" pitchFamily="34" charset="-128"/>
            </a:rPr>
            <a:t> in </a:t>
          </a:r>
          <a:r>
            <a:rPr lang="en-GB" sz="1200">
              <a:effectLst/>
              <a:latin typeface="Arial" panose="020B0604020202020204" pitchFamily="34" charset="0"/>
              <a:ea typeface="MS PGothic" panose="020B0600070205080204" pitchFamily="34" charset="-128"/>
            </a:rPr>
            <a:t>Forres at £33,280  and lowest in Buckie at £27,040.  </a:t>
          </a:r>
          <a:r>
            <a:rPr lang="en-GB" sz="1200">
              <a:effectLst/>
              <a:latin typeface="Arial" panose="020B0604020202020204" pitchFamily="34" charset="0"/>
              <a:ea typeface="MS PGothic" panose="020B0600070205080204" pitchFamily="34" charset="-128"/>
              <a:cs typeface="Times New Roman" panose="02020603050405020304" pitchFamily="18" charset="0"/>
            </a:rPr>
            <a:t> (Table 1.8.2b)</a:t>
          </a:r>
          <a:endParaRPr lang="en-GB" sz="12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a:solidFill>
                <a:schemeClr val="dk1"/>
              </a:solidFill>
              <a:effectLst/>
              <a:latin typeface="Arial" panose="020B0604020202020204" pitchFamily="34" charset="0"/>
              <a:ea typeface="MS PGothic" panose="020B0600070205080204" pitchFamily="34" charset="-128"/>
              <a:cs typeface="Times New Roman" panose="02020603050405020304" pitchFamily="18" charset="0"/>
            </a:rPr>
            <a:t>Analysis of LLHIE lower quartile incomes suggests that, in line with the static growth in median incomes between 2014 and 2018, lower quartile incomes also remained static across Moray at £18,200. Having said this, lower quartile income growth across Moray Housing Market Areas varied significantly over this period from a growth of 26% in Cairngorms National Park (£20,280 in 2018) to a decline of 3% in the Elgin HMA (£18,200 in 2018) (Table 1.8.2c)</a:t>
          </a:r>
        </a:p>
        <a:p>
          <a:pPr marL="0" marR="0" lvl="0" indent="0" defTabSz="914400" eaLnBrk="1" fontAlgn="auto" latinLnBrk="0" hangingPunct="1">
            <a:lnSpc>
              <a:spcPct val="107000"/>
            </a:lnSpc>
            <a:spcBef>
              <a:spcPts val="0"/>
            </a:spcBef>
            <a:spcAft>
              <a:spcPts val="800"/>
            </a:spcAft>
            <a:buClrTx/>
            <a:buSzTx/>
            <a:buFontTx/>
            <a:buNone/>
            <a:tabLst/>
            <a:defRPr/>
          </a:pPr>
          <a:r>
            <a:rPr lang="en-GB" sz="1200">
              <a:solidFill>
                <a:schemeClr val="dk1"/>
              </a:solidFill>
              <a:effectLst/>
              <a:latin typeface="Arial" panose="020B0604020202020204" pitchFamily="34" charset="0"/>
              <a:ea typeface="MS PGothic" panose="020B0600070205080204" pitchFamily="34" charset="-128"/>
              <a:cs typeface="Times New Roman" panose="02020603050405020304" pitchFamily="18" charset="0"/>
            </a:rPr>
            <a:t>Furthermore, benchmarking lower quartile income estimates from 2018 (£18,200, LLHIE) to 2021 CACI Paycheck benchmarks (£18,295), suggests income inflation of just 1%. Overall, this trend analysis suggests that lower quartile incomes in Moray have remained virtually stagnant since 2014 and relative to house price inflation in the area over the last decade (38% from 2011-21), will have experienced significant real term decline. As a result, households with modest incomes across Moray will increasingly find housing market access challenging, if not indeed out of reach.</a:t>
          </a:r>
        </a:p>
        <a:p>
          <a:pPr marL="0" marR="0" lvl="0" indent="0" defTabSz="914400" eaLnBrk="1" fontAlgn="auto" latinLnBrk="0" hangingPunct="1">
            <a:lnSpc>
              <a:spcPct val="107000"/>
            </a:lnSpc>
            <a:spcBef>
              <a:spcPts val="0"/>
            </a:spcBef>
            <a:spcAft>
              <a:spcPts val="800"/>
            </a:spcAft>
            <a:buClrTx/>
            <a:buSzTx/>
            <a:buFontTx/>
            <a:buNone/>
            <a:tabLst/>
            <a:defRPr/>
          </a:pPr>
          <a:r>
            <a:rPr lang="en-GB" sz="1200">
              <a:solidFill>
                <a:schemeClr val="dk1"/>
              </a:solidFill>
              <a:effectLst/>
              <a:latin typeface="Arial" panose="020B0604020202020204" pitchFamily="34" charset="0"/>
              <a:ea typeface="MS PGothic" panose="020B0600070205080204" pitchFamily="34" charset="-128"/>
              <a:cs typeface="Times New Roman" panose="02020603050405020304" pitchFamily="18" charset="0"/>
            </a:rPr>
            <a:t>Analysis of the Scottish House Condition Survey 2017-2019 data shows lower average incomes in Moray at £25,800 when compared with secondary data on income estimates from the Scottish Government between 2014 and 2018.  The average income for Moray is also below the average income for Scotland at £29,100 (Table 1.8.2d). </a:t>
          </a:r>
        </a:p>
        <a:p>
          <a:pPr>
            <a:lnSpc>
              <a:spcPct val="107000"/>
            </a:lnSpc>
            <a:spcAft>
              <a:spcPts val="800"/>
            </a:spcAft>
          </a:pPr>
          <a:r>
            <a:rPr lang="en-GB" sz="1200">
              <a:effectLst/>
              <a:latin typeface="Arial" panose="020B0604020202020204" pitchFamily="34" charset="0"/>
              <a:ea typeface="MS PGothic" panose="020B0600070205080204" pitchFamily="34" charset="-128"/>
              <a:cs typeface="Times New Roman" panose="02020603050405020304" pitchFamily="18" charset="0"/>
            </a:rPr>
            <a:t>Analysis of the Scottish House Condition Survey provides incomes across tenure and household type. Households in social housing across Moray have incomes which are on average £12,000 lower than their counterparts in owner occupation. Older person households consistently have lower incomes (on average £17,400 lower) than family household type (Table 1.8.2c)</a:t>
          </a:r>
          <a:endParaRPr lang="en-GB" sz="12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Times New Roman" panose="02020603050405020304" pitchFamily="18" charset="0"/>
            </a:rPr>
            <a:t>Across Moray, a household will require to spend on average 3.20 times the average income to afford a market property beyond typical lending multiples (Table 1.9.2a)</a:t>
          </a:r>
          <a:endParaRPr lang="en-GB" sz="12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Times New Roman" panose="02020603050405020304" pitchFamily="18" charset="0"/>
            </a:rPr>
            <a:t>On a 30% income to rent ratio, 60% cannot afford median house</a:t>
          </a:r>
          <a:r>
            <a:rPr lang="en-GB" sz="1200" baseline="0">
              <a:effectLst/>
              <a:latin typeface="Arial" panose="020B0604020202020204" pitchFamily="34" charset="0"/>
              <a:ea typeface="Calibri" panose="020F0502020204030204" pitchFamily="34" charset="0"/>
              <a:cs typeface="Times New Roman" panose="02020603050405020304" pitchFamily="18" charset="0"/>
            </a:rPr>
            <a:t> prices, </a:t>
          </a:r>
          <a:r>
            <a:rPr lang="en-GB" sz="1200">
              <a:effectLst/>
              <a:latin typeface="Arial" panose="020B0604020202020204" pitchFamily="34" charset="0"/>
              <a:ea typeface="Calibri" panose="020F0502020204030204" pitchFamily="34" charset="0"/>
              <a:cs typeface="Times New Roman" panose="02020603050405020304" pitchFamily="18" charset="0"/>
            </a:rPr>
            <a:t>42% of the Moray population cannot afford a lower quartile market sale or private rent, 24% cannot afford Mid Market or LHA rent, 19% cannot afford RSL housing and 10% cannot afford</a:t>
          </a:r>
          <a:r>
            <a:rPr lang="en-GB" sz="1200" baseline="0">
              <a:effectLst/>
              <a:latin typeface="Arial" panose="020B0604020202020204" pitchFamily="34" charset="0"/>
              <a:ea typeface="Calibri" panose="020F0502020204030204" pitchFamily="34" charset="0"/>
              <a:cs typeface="Times New Roman" panose="02020603050405020304" pitchFamily="18" charset="0"/>
            </a:rPr>
            <a:t> Moray Council housing.</a:t>
          </a:r>
          <a:r>
            <a:rPr lang="en-GB" sz="1200">
              <a:effectLst/>
              <a:latin typeface="Arial" panose="020B0604020202020204" pitchFamily="34" charset="0"/>
              <a:ea typeface="Calibri" panose="020F0502020204030204" pitchFamily="34" charset="0"/>
              <a:cs typeface="Times New Roman" panose="02020603050405020304" pitchFamily="18" charset="0"/>
            </a:rPr>
            <a:t> (Table 1.9.1b)</a:t>
          </a:r>
          <a:endParaRPr lang="en-GB" sz="12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Times New Roman" panose="02020603050405020304" pitchFamily="18" charset="0"/>
            </a:rPr>
            <a:t>Whilst RSL rents are affordable for 81% households in Moray, market rents are only affordable to 58% households (Table 1.9.1b)</a:t>
          </a:r>
          <a:endParaRPr lang="en-GB" sz="12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a:solidFill>
                <a:srgbClr val="333333"/>
              </a:solidFill>
              <a:effectLst/>
              <a:latin typeface="Arial" panose="020B0604020202020204" pitchFamily="34" charset="0"/>
              <a:ea typeface="MS PGothic" panose="020B0600070205080204" pitchFamily="34" charset="-128"/>
              <a:cs typeface="Arial" panose="020B0604020202020204" pitchFamily="34" charset="0"/>
            </a:rPr>
            <a:t>Analysis</a:t>
          </a:r>
          <a:r>
            <a:rPr lang="en-GB" sz="1200" baseline="0">
              <a:solidFill>
                <a:srgbClr val="333333"/>
              </a:solidFill>
              <a:effectLst/>
              <a:latin typeface="Arial" panose="020B0604020202020204" pitchFamily="34" charset="0"/>
              <a:ea typeface="MS PGothic" panose="020B0600070205080204" pitchFamily="34" charset="-128"/>
              <a:cs typeface="Arial" panose="020B0604020202020204" pitchFamily="34" charset="0"/>
            </a:rPr>
            <a:t> of the </a:t>
          </a:r>
          <a:r>
            <a:rPr lang="en-GB" sz="1200">
              <a:solidFill>
                <a:srgbClr val="333333"/>
              </a:solidFill>
              <a:effectLst/>
              <a:latin typeface="Arial" panose="020B0604020202020204" pitchFamily="34" charset="0"/>
              <a:ea typeface="MS PGothic" panose="020B0600070205080204" pitchFamily="34" charset="-128"/>
              <a:cs typeface="Arial" panose="020B0604020202020204" pitchFamily="34" charset="0"/>
            </a:rPr>
            <a:t>Moray HNDA 2022</a:t>
          </a:r>
          <a:r>
            <a:rPr lang="en-GB" sz="1200" b="1">
              <a:solidFill>
                <a:srgbClr val="333333"/>
              </a:solidFill>
              <a:effectLst/>
              <a:latin typeface="Arial" panose="020B0604020202020204" pitchFamily="34" charset="0"/>
              <a:ea typeface="MS PGothic" panose="020B0600070205080204" pitchFamily="34" charset="-128"/>
              <a:cs typeface="Arial" panose="020B0604020202020204" pitchFamily="34" charset="0"/>
            </a:rPr>
            <a:t> </a:t>
          </a:r>
          <a:r>
            <a:rPr lang="en-GB" sz="1200">
              <a:solidFill>
                <a:srgbClr val="333333"/>
              </a:solidFill>
              <a:effectLst/>
              <a:latin typeface="Arial" panose="020B0604020202020204" pitchFamily="34" charset="0"/>
              <a:ea typeface="MS PGothic" panose="020B0600070205080204" pitchFamily="34" charset="-128"/>
              <a:cs typeface="Arial" panose="020B0604020202020204" pitchFamily="34" charset="0"/>
            </a:rPr>
            <a:t>Survey data estimates 14% of households are spending more than 25% of their income to meet rent or mortgage costs, with 8% spending more than 30%. This ranges across the Moray HMAs from 17% in the Forres and Speyside area spending more than 25% of their income on accommodation costs to 0% in Cairngorms NP (Table 1.9.2d). </a:t>
          </a:r>
        </a:p>
        <a:p>
          <a:pPr>
            <a:lnSpc>
              <a:spcPct val="107000"/>
            </a:lnSpc>
            <a:spcAft>
              <a:spcPts val="800"/>
            </a:spcAft>
          </a:pPr>
          <a:r>
            <a:rPr lang="en-GB" sz="1200">
              <a:solidFill>
                <a:srgbClr val="333333"/>
              </a:solidFill>
              <a:effectLst/>
              <a:latin typeface="Arial" panose="020B0604020202020204" pitchFamily="34" charset="0"/>
              <a:ea typeface="MS PGothic" panose="020B0600070205080204" pitchFamily="34" charset="-128"/>
              <a:cs typeface="Arial" panose="020B0604020202020204" pitchFamily="34" charset="0"/>
            </a:rPr>
            <a:t>The highest proportion of households in Moray, 39% owned their house out right with the highest proportion in Buckie at 54% and lowest in Elgin at 34%</a:t>
          </a:r>
          <a:r>
            <a:rPr lang="en-GB" sz="1200" baseline="0">
              <a:solidFill>
                <a:srgbClr val="333333"/>
              </a:solidFill>
              <a:effectLst/>
              <a:latin typeface="Arial" panose="020B0604020202020204" pitchFamily="34" charset="0"/>
              <a:ea typeface="MS PGothic" panose="020B0600070205080204" pitchFamily="34" charset="-128"/>
              <a:cs typeface="Arial" panose="020B0604020202020204" pitchFamily="34" charset="0"/>
            </a:rPr>
            <a:t> (TAble 1.9.2d)</a:t>
          </a:r>
        </a:p>
        <a:p>
          <a:pPr>
            <a:lnSpc>
              <a:spcPct val="107000"/>
            </a:lnSpc>
            <a:spcAft>
              <a:spcPts val="800"/>
            </a:spcAft>
          </a:pPr>
          <a:r>
            <a:rPr lang="en-GB" sz="1200">
              <a:solidFill>
                <a:srgbClr val="333333"/>
              </a:solidFill>
              <a:effectLst/>
              <a:latin typeface="Arial" panose="020B0604020202020204" pitchFamily="34" charset="0"/>
              <a:ea typeface="MS PGothic" panose="020B0600070205080204" pitchFamily="34" charset="-128"/>
              <a:cs typeface="Arial" panose="020B0604020202020204" pitchFamily="34" charset="0"/>
            </a:rPr>
            <a:t>Across Moray in 2021 a household will require to spend on average 5.1 times the average income to afford a market property for median income. This income to house price ratio rises to 6.3 for households with lower quartile incomes</a:t>
          </a:r>
          <a:r>
            <a:rPr lang="en-GB" sz="1200" baseline="0">
              <a:solidFill>
                <a:srgbClr val="333333"/>
              </a:solidFill>
              <a:effectLst/>
              <a:latin typeface="Arial" panose="020B0604020202020204" pitchFamily="34" charset="0"/>
              <a:ea typeface="MS PGothic" panose="020B0600070205080204" pitchFamily="34" charset="-128"/>
              <a:cs typeface="Arial" panose="020B0604020202020204" pitchFamily="34" charset="0"/>
            </a:rPr>
            <a:t> (Table 1.9.2e)</a:t>
          </a:r>
          <a:endParaRPr lang="en-GB" sz="1200">
            <a:solidFill>
              <a:srgbClr val="333333"/>
            </a:solidFill>
            <a:effectLst/>
            <a:latin typeface="Arial" panose="020B0604020202020204" pitchFamily="34" charset="0"/>
            <a:ea typeface="MS PGothic" panose="020B0600070205080204" pitchFamily="34" charset="-128"/>
            <a:cs typeface="Arial" panose="020B0604020202020204" pitchFamily="34" charset="0"/>
          </a:endParaRPr>
        </a:p>
        <a:p>
          <a:pPr>
            <a:lnSpc>
              <a:spcPct val="107000"/>
            </a:lnSpc>
            <a:spcAft>
              <a:spcPts val="800"/>
            </a:spcAft>
          </a:pPr>
          <a:r>
            <a:rPr lang="en-GB" sz="1200">
              <a:solidFill>
                <a:srgbClr val="333333"/>
              </a:solidFill>
              <a:effectLst/>
              <a:latin typeface="Arial" panose="020B0604020202020204" pitchFamily="34" charset="0"/>
              <a:ea typeface="MS PGothic" panose="020B0600070205080204" pitchFamily="34" charset="-128"/>
              <a:cs typeface="Arial" panose="020B0604020202020204" pitchFamily="34" charset="0"/>
            </a:rPr>
            <a:t>In 2018/19 the income to house price ratio was 5.3 across Moray with variances across the Moray HMAs from 4.9 in Keith to 6.1 in Cairngorms NP. If house prices continue to rise, a greater range of affordable and intermediate housing options will be required</a:t>
          </a:r>
          <a:r>
            <a:rPr lang="en-GB" sz="1200" baseline="0">
              <a:solidFill>
                <a:srgbClr val="333333"/>
              </a:solidFill>
              <a:effectLst/>
              <a:latin typeface="Arial" panose="020B0604020202020204" pitchFamily="34" charset="0"/>
              <a:ea typeface="MS PGothic" panose="020B0600070205080204" pitchFamily="34" charset="-128"/>
              <a:cs typeface="Arial" panose="020B0604020202020204" pitchFamily="34" charset="0"/>
            </a:rPr>
            <a:t>  (Table 1.9.2.f)</a:t>
          </a:r>
          <a:endParaRPr lang="en-GB" sz="1050">
            <a:solidFill>
              <a:srgbClr val="333333"/>
            </a:solidFill>
            <a:effectLst/>
            <a:latin typeface="Arial" panose="020B0604020202020204" pitchFamily="34" charset="0"/>
            <a:ea typeface="MS PGothic" panose="020B0600070205080204" pitchFamily="34" charset="-128"/>
            <a:cs typeface="Times New Roman" panose="02020603050405020304" pitchFamily="18" charset="0"/>
          </a:endParaRPr>
        </a:p>
        <a:p>
          <a:pPr>
            <a:lnSpc>
              <a:spcPct val="107000"/>
            </a:lnSpc>
            <a:spcAft>
              <a:spcPts val="800"/>
            </a:spcAft>
          </a:pPr>
          <a:endParaRPr lang="en-GB" sz="1200" baseline="0">
            <a:latin typeface="Arial" panose="020B0604020202020204" pitchFamily="34" charset="0"/>
            <a:cs typeface="Arial" panose="020B0604020202020204" pitchFamily="34" charset="0"/>
          </a:endParaRPr>
        </a:p>
      </xdr:txBody>
    </xdr:sp>
    <xdr:clientData/>
  </xdr:twoCellAnchor>
  <xdr:twoCellAnchor>
    <xdr:from>
      <xdr:col>6</xdr:col>
      <xdr:colOff>263338</xdr:colOff>
      <xdr:row>27</xdr:row>
      <xdr:rowOff>68355</xdr:rowOff>
    </xdr:from>
    <xdr:to>
      <xdr:col>13</xdr:col>
      <xdr:colOff>100853</xdr:colOff>
      <xdr:row>44</xdr:row>
      <xdr:rowOff>168089</xdr:rowOff>
    </xdr:to>
    <xdr:graphicFrame macro="">
      <xdr:nvGraphicFramePr>
        <xdr:cNvPr id="7" name="Chart 6">
          <a:extLst>
            <a:ext uri="{FF2B5EF4-FFF2-40B4-BE49-F238E27FC236}">
              <a16:creationId xmlns:a16="http://schemas.microsoft.com/office/drawing/2014/main" id="{390E2F0F-141E-A431-00CE-9301D3232E5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847725</xdr:colOff>
      <xdr:row>26</xdr:row>
      <xdr:rowOff>119061</xdr:rowOff>
    </xdr:from>
    <xdr:to>
      <xdr:col>9</xdr:col>
      <xdr:colOff>819150</xdr:colOff>
      <xdr:row>50</xdr:row>
      <xdr:rowOff>85724</xdr:rowOff>
    </xdr:to>
    <xdr:graphicFrame macro="">
      <xdr:nvGraphicFramePr>
        <xdr:cNvPr id="3" name="Chart 2">
          <a:extLst>
            <a:ext uri="{FF2B5EF4-FFF2-40B4-BE49-F238E27FC236}">
              <a16:creationId xmlns:a16="http://schemas.microsoft.com/office/drawing/2014/main" id="{8AF13694-0B59-4745-B286-59EB687081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571499</xdr:colOff>
      <xdr:row>4</xdr:row>
      <xdr:rowOff>42861</xdr:rowOff>
    </xdr:from>
    <xdr:to>
      <xdr:col>11</xdr:col>
      <xdr:colOff>228599</xdr:colOff>
      <xdr:row>25</xdr:row>
      <xdr:rowOff>123824</xdr:rowOff>
    </xdr:to>
    <xdr:graphicFrame macro="">
      <xdr:nvGraphicFramePr>
        <xdr:cNvPr id="4" name="Chart 3">
          <a:extLst>
            <a:ext uri="{FF2B5EF4-FFF2-40B4-BE49-F238E27FC236}">
              <a16:creationId xmlns:a16="http://schemas.microsoft.com/office/drawing/2014/main" id="{ED9377DF-503B-43C0-B3B7-497A6F137F7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466724</xdr:colOff>
      <xdr:row>51</xdr:row>
      <xdr:rowOff>23811</xdr:rowOff>
    </xdr:from>
    <xdr:to>
      <xdr:col>11</xdr:col>
      <xdr:colOff>28574</xdr:colOff>
      <xdr:row>72</xdr:row>
      <xdr:rowOff>133349</xdr:rowOff>
    </xdr:to>
    <xdr:graphicFrame macro="">
      <xdr:nvGraphicFramePr>
        <xdr:cNvPr id="5" name="Chart 4">
          <a:extLst>
            <a:ext uri="{FF2B5EF4-FFF2-40B4-BE49-F238E27FC236}">
              <a16:creationId xmlns:a16="http://schemas.microsoft.com/office/drawing/2014/main" id="{BA798F47-41BF-4EA0-9EE1-7F423BA5C97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857249</xdr:colOff>
      <xdr:row>74</xdr:row>
      <xdr:rowOff>185736</xdr:rowOff>
    </xdr:from>
    <xdr:to>
      <xdr:col>9</xdr:col>
      <xdr:colOff>723899</xdr:colOff>
      <xdr:row>95</xdr:row>
      <xdr:rowOff>142874</xdr:rowOff>
    </xdr:to>
    <xdr:graphicFrame macro="">
      <xdr:nvGraphicFramePr>
        <xdr:cNvPr id="6" name="Chart 5">
          <a:extLst>
            <a:ext uri="{FF2B5EF4-FFF2-40B4-BE49-F238E27FC236}">
              <a16:creationId xmlns:a16="http://schemas.microsoft.com/office/drawing/2014/main" id="{67AFC7A5-1C34-4FD7-8A38-D18C4DC25E3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571500</xdr:colOff>
      <xdr:row>97</xdr:row>
      <xdr:rowOff>128587</xdr:rowOff>
    </xdr:from>
    <xdr:to>
      <xdr:col>11</xdr:col>
      <xdr:colOff>600075</xdr:colOff>
      <xdr:row>118</xdr:row>
      <xdr:rowOff>76200</xdr:rowOff>
    </xdr:to>
    <xdr:graphicFrame macro="">
      <xdr:nvGraphicFramePr>
        <xdr:cNvPr id="8" name="Chart 7">
          <a:extLst>
            <a:ext uri="{FF2B5EF4-FFF2-40B4-BE49-F238E27FC236}">
              <a16:creationId xmlns:a16="http://schemas.microsoft.com/office/drawing/2014/main" id="{645CFBFF-DBED-4B89-9B1B-FAB3D8AF42C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1190625</xdr:colOff>
      <xdr:row>120</xdr:row>
      <xdr:rowOff>14286</xdr:rowOff>
    </xdr:from>
    <xdr:to>
      <xdr:col>10</xdr:col>
      <xdr:colOff>123825</xdr:colOff>
      <xdr:row>143</xdr:row>
      <xdr:rowOff>19049</xdr:rowOff>
    </xdr:to>
    <xdr:graphicFrame macro="">
      <xdr:nvGraphicFramePr>
        <xdr:cNvPr id="10" name="Chart 9">
          <a:extLst>
            <a:ext uri="{FF2B5EF4-FFF2-40B4-BE49-F238E27FC236}">
              <a16:creationId xmlns:a16="http://schemas.microsoft.com/office/drawing/2014/main" id="{AA71FBD1-C555-4A16-8266-C03EFA126E3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616883</xdr:colOff>
      <xdr:row>158</xdr:row>
      <xdr:rowOff>82642</xdr:rowOff>
    </xdr:from>
    <xdr:to>
      <xdr:col>10</xdr:col>
      <xdr:colOff>0</xdr:colOff>
      <xdr:row>179</xdr:row>
      <xdr:rowOff>58830</xdr:rowOff>
    </xdr:to>
    <xdr:graphicFrame macro="">
      <xdr:nvGraphicFramePr>
        <xdr:cNvPr id="11" name="Chart 10">
          <a:extLst>
            <a:ext uri="{FF2B5EF4-FFF2-40B4-BE49-F238E27FC236}">
              <a16:creationId xmlns:a16="http://schemas.microsoft.com/office/drawing/2014/main" id="{58DA446D-C9C1-48F3-9B65-F0A06D2DB5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565897</xdr:colOff>
      <xdr:row>140</xdr:row>
      <xdr:rowOff>57148</xdr:rowOff>
    </xdr:from>
    <xdr:to>
      <xdr:col>15</xdr:col>
      <xdr:colOff>1030941</xdr:colOff>
      <xdr:row>162</xdr:row>
      <xdr:rowOff>44823</xdr:rowOff>
    </xdr:to>
    <xdr:graphicFrame macro="">
      <xdr:nvGraphicFramePr>
        <xdr:cNvPr id="12" name="Chart 11">
          <a:extLst>
            <a:ext uri="{FF2B5EF4-FFF2-40B4-BE49-F238E27FC236}">
              <a16:creationId xmlns:a16="http://schemas.microsoft.com/office/drawing/2014/main" id="{F261826B-21AC-4790-8E63-51FE32CB3E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xdr:colOff>
      <xdr:row>254</xdr:row>
      <xdr:rowOff>2</xdr:rowOff>
    </xdr:from>
    <xdr:to>
      <xdr:col>8</xdr:col>
      <xdr:colOff>638736</xdr:colOff>
      <xdr:row>279</xdr:row>
      <xdr:rowOff>33618</xdr:rowOff>
    </xdr:to>
    <xdr:sp macro="" textlink="">
      <xdr:nvSpPr>
        <xdr:cNvPr id="13" name="TextBox 12">
          <a:extLst>
            <a:ext uri="{FF2B5EF4-FFF2-40B4-BE49-F238E27FC236}">
              <a16:creationId xmlns:a16="http://schemas.microsoft.com/office/drawing/2014/main" id="{8B69ED60-8EE5-4BDD-825F-5CFE2FC5E7B7}"/>
            </a:ext>
          </a:extLst>
        </xdr:cNvPr>
        <xdr:cNvSpPr txBox="1"/>
      </xdr:nvSpPr>
      <xdr:spPr>
        <a:xfrm>
          <a:off x="437030" y="47479326"/>
          <a:ext cx="12584206" cy="4515968"/>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chemeClr val="dk1"/>
              </a:solidFill>
              <a:effectLst/>
              <a:latin typeface="Arial" panose="020B0604020202020204" pitchFamily="34" charset="0"/>
              <a:ea typeface="+mn-ea"/>
              <a:cs typeface="Arial" panose="020B0604020202020204" pitchFamily="34" charset="0"/>
            </a:rPr>
            <a:t>Key Findings: 1.10-1.28 Economic Data Moray</a:t>
          </a:r>
        </a:p>
        <a:p>
          <a:endParaRPr lang="en-GB" sz="1200">
            <a:solidFill>
              <a:schemeClr val="dk1"/>
            </a:solidFill>
            <a:effectLst/>
            <a:latin typeface="Arial" panose="020B0604020202020204" pitchFamily="34" charset="0"/>
            <a:ea typeface="+mn-ea"/>
            <a:cs typeface="Arial" panose="020B0604020202020204" pitchFamily="34" charset="0"/>
          </a:endParaRPr>
        </a:p>
        <a:p>
          <a:r>
            <a:rPr lang="en-GB" sz="1200">
              <a:solidFill>
                <a:schemeClr val="dk1"/>
              </a:solidFill>
              <a:effectLst/>
              <a:latin typeface="Arial" panose="020B0604020202020204" pitchFamily="34" charset="0"/>
              <a:ea typeface="+mn-ea"/>
              <a:cs typeface="Arial" panose="020B0604020202020204" pitchFamily="34" charset="0"/>
            </a:rPr>
            <a:t>Across Moray, just under 45,300 people were employed in 2021, with the employment level increasing by 4.62% between 2004 and 2021 (Table 1.10) .</a:t>
          </a:r>
        </a:p>
        <a:p>
          <a:r>
            <a:rPr lang="en-GB" sz="1200">
              <a:solidFill>
                <a:schemeClr val="dk1"/>
              </a:solidFill>
              <a:effectLst/>
              <a:latin typeface="Arial" panose="020B0604020202020204" pitchFamily="34" charset="0"/>
              <a:ea typeface="+mn-ea"/>
              <a:cs typeface="Arial" panose="020B0604020202020204" pitchFamily="34" charset="0"/>
            </a:rPr>
            <a:t>The average employment rate across Moray</a:t>
          </a:r>
          <a:r>
            <a:rPr lang="en-GB" sz="1200" baseline="0">
              <a:solidFill>
                <a:schemeClr val="dk1"/>
              </a:solidFill>
              <a:effectLst/>
              <a:latin typeface="Arial" panose="020B0604020202020204" pitchFamily="34" charset="0"/>
              <a:ea typeface="+mn-ea"/>
              <a:cs typeface="Arial" panose="020B0604020202020204" pitchFamily="34" charset="0"/>
            </a:rPr>
            <a:t> </a:t>
          </a:r>
          <a:r>
            <a:rPr lang="en-GB" sz="1200">
              <a:solidFill>
                <a:schemeClr val="dk1"/>
              </a:solidFill>
              <a:effectLst/>
              <a:latin typeface="Arial" panose="020B0604020202020204" pitchFamily="34" charset="0"/>
              <a:ea typeface="+mn-ea"/>
              <a:cs typeface="Arial" panose="020B0604020202020204" pitchFamily="34" charset="0"/>
            </a:rPr>
            <a:t>in 2021 was 72.80% (Table 1.11).</a:t>
          </a:r>
        </a:p>
        <a:p>
          <a:endParaRPr lang="en-GB" sz="1200">
            <a:solidFill>
              <a:schemeClr val="dk1"/>
            </a:solidFill>
            <a:effectLst/>
            <a:latin typeface="Arial" panose="020B0604020202020204" pitchFamily="34" charset="0"/>
            <a:ea typeface="+mn-ea"/>
            <a:cs typeface="Arial" panose="020B0604020202020204" pitchFamily="34" charset="0"/>
          </a:endParaRPr>
        </a:p>
        <a:p>
          <a:r>
            <a:rPr lang="en-GB" sz="1200">
              <a:solidFill>
                <a:schemeClr val="dk1"/>
              </a:solidFill>
              <a:effectLst/>
              <a:latin typeface="Arial" panose="020B0604020202020204" pitchFamily="34" charset="0"/>
              <a:ea typeface="+mn-ea"/>
              <a:cs typeface="Arial" panose="020B0604020202020204" pitchFamily="34" charset="0"/>
            </a:rPr>
            <a:t>In 2021, the average level of economic inactivity Moray was 24.7%  (Table 1.15).</a:t>
          </a:r>
        </a:p>
        <a:p>
          <a:endParaRPr lang="en-GB" sz="1200">
            <a:solidFill>
              <a:schemeClr val="dk1"/>
            </a:solidFill>
            <a:effectLst/>
            <a:latin typeface="Arial" panose="020B0604020202020204" pitchFamily="34" charset="0"/>
            <a:ea typeface="+mn-ea"/>
            <a:cs typeface="Arial" panose="020B0604020202020204" pitchFamily="34" charset="0"/>
          </a:endParaRPr>
        </a:p>
        <a:p>
          <a:r>
            <a:rPr lang="en-GB" sz="1200">
              <a:solidFill>
                <a:schemeClr val="dk1"/>
              </a:solidFill>
              <a:effectLst/>
              <a:latin typeface="Arial" panose="020B0604020202020204" pitchFamily="34" charset="0"/>
              <a:ea typeface="+mn-ea"/>
              <a:cs typeface="Arial" panose="020B0604020202020204" pitchFamily="34" charset="0"/>
            </a:rPr>
            <a:t>In Moray, the overall level of economic inactivity has reduced by 22.31% between 2004 and 2021 (Table 1.15).</a:t>
          </a:r>
        </a:p>
        <a:p>
          <a:endParaRPr lang="en-GB" sz="1200">
            <a:solidFill>
              <a:schemeClr val="dk1"/>
            </a:solidFill>
            <a:effectLst/>
            <a:latin typeface="Arial" panose="020B0604020202020204" pitchFamily="34" charset="0"/>
            <a:ea typeface="+mn-ea"/>
            <a:cs typeface="Arial" panose="020B0604020202020204" pitchFamily="34" charset="0"/>
          </a:endParaRPr>
        </a:p>
        <a:p>
          <a:r>
            <a:rPr lang="en-GB" sz="1200">
              <a:solidFill>
                <a:schemeClr val="dk1"/>
              </a:solidFill>
              <a:effectLst/>
              <a:latin typeface="Arial" panose="020B0604020202020204" pitchFamily="34" charset="0"/>
              <a:ea typeface="+mn-ea"/>
              <a:cs typeface="Arial" panose="020B0604020202020204" pitchFamily="34" charset="0"/>
            </a:rPr>
            <a:t>The claimant count rate in Moray for income related benefits sits on average at 2.3% (which is less than Scotland's 3.1%) (Table 1.16).</a:t>
          </a:r>
        </a:p>
        <a:p>
          <a:endParaRPr lang="en-GB" sz="1200">
            <a:solidFill>
              <a:schemeClr val="dk1"/>
            </a:solidFill>
            <a:effectLst/>
            <a:latin typeface="Arial" panose="020B0604020202020204" pitchFamily="34" charset="0"/>
            <a:ea typeface="+mn-ea"/>
            <a:cs typeface="Arial" panose="020B0604020202020204" pitchFamily="34" charset="0"/>
          </a:endParaRPr>
        </a:p>
        <a:p>
          <a:r>
            <a:rPr lang="en-GB" sz="1200">
              <a:solidFill>
                <a:schemeClr val="dk1"/>
              </a:solidFill>
              <a:effectLst/>
              <a:latin typeface="Arial" panose="020B0604020202020204" pitchFamily="34" charset="0"/>
              <a:ea typeface="+mn-ea"/>
              <a:cs typeface="Arial" panose="020B0604020202020204" pitchFamily="34" charset="0"/>
            </a:rPr>
            <a:t>In 2018, Moray was 14% below the Scottish average for Gross Added Value (GAV)  a key indicator of economic output with the GAV in Moray reducing by -15% betwwen 2008 and 2018. </a:t>
          </a:r>
          <a:r>
            <a:rPr lang="en-GB" sz="1200" baseline="0">
              <a:solidFill>
                <a:schemeClr val="dk1"/>
              </a:solidFill>
              <a:effectLst/>
              <a:latin typeface="Arial" panose="020B0604020202020204" pitchFamily="34" charset="0"/>
              <a:ea typeface="+mn-ea"/>
              <a:cs typeface="Arial" panose="020B0604020202020204" pitchFamily="34" charset="0"/>
            </a:rPr>
            <a:t> (Table 1.18).</a:t>
          </a:r>
        </a:p>
        <a:p>
          <a:r>
            <a:rPr lang="en-GB" sz="1200">
              <a:solidFill>
                <a:schemeClr val="dk1"/>
              </a:solidFill>
              <a:effectLst/>
              <a:latin typeface="Arial" panose="020B0604020202020204" pitchFamily="34" charset="0"/>
              <a:ea typeface="+mn-ea"/>
              <a:cs typeface="Arial" panose="020B0604020202020204" pitchFamily="34" charset="0"/>
            </a:rPr>
            <a:t> </a:t>
          </a:r>
        </a:p>
        <a:p>
          <a:r>
            <a:rPr lang="en-GB" sz="1200">
              <a:solidFill>
                <a:schemeClr val="dk1"/>
              </a:solidFill>
              <a:effectLst/>
              <a:latin typeface="Arial" panose="020B0604020202020204" pitchFamily="34" charset="0"/>
              <a:ea typeface="+mn-ea"/>
              <a:cs typeface="Arial" panose="020B0604020202020204" pitchFamily="34" charset="0"/>
            </a:rPr>
            <a:t>Key industries in Moray include (i) Agriculture, Forestry, and Fishing</a:t>
          </a:r>
          <a:r>
            <a:rPr lang="en-GB" sz="1200" baseline="0">
              <a:solidFill>
                <a:schemeClr val="dk1"/>
              </a:solidFill>
              <a:effectLst/>
              <a:latin typeface="Arial" panose="020B0604020202020204" pitchFamily="34" charset="0"/>
              <a:ea typeface="+mn-ea"/>
              <a:cs typeface="Arial" panose="020B0604020202020204" pitchFamily="34" charset="0"/>
            </a:rPr>
            <a:t> </a:t>
          </a:r>
          <a:r>
            <a:rPr lang="en-GB" sz="1200">
              <a:solidFill>
                <a:schemeClr val="dk1"/>
              </a:solidFill>
              <a:effectLst/>
              <a:latin typeface="Arial" panose="020B0604020202020204" pitchFamily="34" charset="0"/>
              <a:ea typeface="+mn-ea"/>
              <a:cs typeface="Arial" panose="020B0604020202020204" pitchFamily="34" charset="0"/>
            </a:rPr>
            <a:t>and (ii) Construction which between them account for 35% of all employment opportunities in the region (Table 1.23).</a:t>
          </a:r>
        </a:p>
        <a:p>
          <a:endParaRPr lang="en-GB" sz="1200">
            <a:solidFill>
              <a:schemeClr val="dk1"/>
            </a:solidFill>
            <a:effectLst/>
            <a:latin typeface="Arial" panose="020B0604020202020204" pitchFamily="34" charset="0"/>
            <a:ea typeface="+mn-ea"/>
            <a:cs typeface="Arial" panose="020B0604020202020204" pitchFamily="34" charset="0"/>
          </a:endParaRPr>
        </a:p>
        <a:p>
          <a:r>
            <a:rPr lang="en-GB" sz="1200">
              <a:solidFill>
                <a:schemeClr val="dk1"/>
              </a:solidFill>
              <a:effectLst/>
              <a:latin typeface="Arial" panose="020B0604020202020204" pitchFamily="34" charset="0"/>
              <a:ea typeface="+mn-ea"/>
              <a:cs typeface="Arial" panose="020B0604020202020204" pitchFamily="34" charset="0"/>
            </a:rPr>
            <a:t>In Moray, there were 1565 new enterprises; this represents a 20% reduction in new enterprises since 2016 (Table 1.24a) </a:t>
          </a:r>
        </a:p>
        <a:p>
          <a:endParaRPr lang="en-GB" sz="1200">
            <a:solidFill>
              <a:schemeClr val="dk1"/>
            </a:solidFill>
            <a:effectLst/>
            <a:latin typeface="Arial" panose="020B0604020202020204" pitchFamily="34" charset="0"/>
            <a:ea typeface="+mn-ea"/>
            <a:cs typeface="Arial" panose="020B0604020202020204" pitchFamily="34" charset="0"/>
          </a:endParaRPr>
        </a:p>
        <a:p>
          <a:r>
            <a:rPr lang="en-GB" sz="1200">
              <a:solidFill>
                <a:schemeClr val="dk1"/>
              </a:solidFill>
              <a:effectLst/>
              <a:latin typeface="Arial" panose="020B0604020202020204" pitchFamily="34" charset="0"/>
              <a:ea typeface="+mn-ea"/>
              <a:cs typeface="Arial" panose="020B0604020202020204" pitchFamily="34" charset="0"/>
            </a:rPr>
            <a:t>The average female wage is less than the average male wage, with males on average earning £218.2 more per week across Moray (Table 1.25).</a:t>
          </a:r>
        </a:p>
        <a:p>
          <a:r>
            <a:rPr lang="en-GB" sz="1200">
              <a:solidFill>
                <a:schemeClr val="dk1"/>
              </a:solidFill>
              <a:effectLst/>
              <a:latin typeface="Arial" panose="020B0604020202020204" pitchFamily="34" charset="0"/>
              <a:ea typeface="+mn-ea"/>
              <a:cs typeface="Arial" panose="020B0604020202020204" pitchFamily="34" charset="0"/>
            </a:rPr>
            <a:t>In Moray the average weekly wage is £518.4</a:t>
          </a:r>
          <a:r>
            <a:rPr lang="en-GB" sz="1200" baseline="0">
              <a:solidFill>
                <a:schemeClr val="dk1"/>
              </a:solidFill>
              <a:effectLst/>
              <a:latin typeface="Arial" panose="020B0604020202020204" pitchFamily="34" charset="0"/>
              <a:ea typeface="+mn-ea"/>
              <a:cs typeface="Arial" panose="020B0604020202020204" pitchFamily="34" charset="0"/>
            </a:rPr>
            <a:t> compared with Scotland's average of £599.2</a:t>
          </a:r>
          <a:r>
            <a:rPr lang="en-GB" sz="1200">
              <a:solidFill>
                <a:schemeClr val="dk1"/>
              </a:solidFill>
              <a:effectLst/>
              <a:latin typeface="Arial" panose="020B0604020202020204" pitchFamily="34" charset="0"/>
              <a:ea typeface="+mn-ea"/>
              <a:cs typeface="Arial" panose="020B0604020202020204" pitchFamily="34" charset="0"/>
            </a:rPr>
            <a:t>, indicating that most people earn less than the national average weekly pay (Table 1.25).</a:t>
          </a:r>
        </a:p>
        <a:p>
          <a:endParaRPr lang="en-GB" sz="1200" b="1">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5953</xdr:colOff>
      <xdr:row>23</xdr:row>
      <xdr:rowOff>5059</xdr:rowOff>
    </xdr:from>
    <xdr:to>
      <xdr:col>13</xdr:col>
      <xdr:colOff>142875</xdr:colOff>
      <xdr:row>37</xdr:row>
      <xdr:rowOff>39587</xdr:rowOff>
    </xdr:to>
    <xdr:graphicFrame macro="">
      <xdr:nvGraphicFramePr>
        <xdr:cNvPr id="2" name="Chart 1">
          <a:extLst>
            <a:ext uri="{FF2B5EF4-FFF2-40B4-BE49-F238E27FC236}">
              <a16:creationId xmlns:a16="http://schemas.microsoft.com/office/drawing/2014/main" id="{7562E350-CDDF-439D-B0D5-4B5467D8DF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601266</xdr:colOff>
      <xdr:row>23</xdr:row>
      <xdr:rowOff>5059</xdr:rowOff>
    </xdr:from>
    <xdr:to>
      <xdr:col>21</xdr:col>
      <xdr:colOff>291703</xdr:colOff>
      <xdr:row>37</xdr:row>
      <xdr:rowOff>39587</xdr:rowOff>
    </xdr:to>
    <xdr:graphicFrame macro="">
      <xdr:nvGraphicFramePr>
        <xdr:cNvPr id="3" name="Chart 2">
          <a:extLst>
            <a:ext uri="{FF2B5EF4-FFF2-40B4-BE49-F238E27FC236}">
              <a16:creationId xmlns:a16="http://schemas.microsoft.com/office/drawing/2014/main" id="{8CA67389-9F4F-418E-AFFC-43CD2FF7B7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35720</xdr:colOff>
      <xdr:row>42</xdr:row>
      <xdr:rowOff>5060</xdr:rowOff>
    </xdr:from>
    <xdr:to>
      <xdr:col>13</xdr:col>
      <xdr:colOff>172642</xdr:colOff>
      <xdr:row>56</xdr:row>
      <xdr:rowOff>39588</xdr:rowOff>
    </xdr:to>
    <xdr:graphicFrame macro="">
      <xdr:nvGraphicFramePr>
        <xdr:cNvPr id="4" name="Chart 3">
          <a:extLst>
            <a:ext uri="{FF2B5EF4-FFF2-40B4-BE49-F238E27FC236}">
              <a16:creationId xmlns:a16="http://schemas.microsoft.com/office/drawing/2014/main" id="{90DB4F3F-8FED-4C8F-8869-F9A60BB752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20835</xdr:colOff>
      <xdr:row>41</xdr:row>
      <xdr:rowOff>183653</xdr:rowOff>
    </xdr:from>
    <xdr:to>
      <xdr:col>21</xdr:col>
      <xdr:colOff>321468</xdr:colOff>
      <xdr:row>56</xdr:row>
      <xdr:rowOff>24704</xdr:rowOff>
    </xdr:to>
    <xdr:graphicFrame macro="">
      <xdr:nvGraphicFramePr>
        <xdr:cNvPr id="5" name="Chart 4">
          <a:extLst>
            <a:ext uri="{FF2B5EF4-FFF2-40B4-BE49-F238E27FC236}">
              <a16:creationId xmlns:a16="http://schemas.microsoft.com/office/drawing/2014/main" id="{5D655B43-8981-4F7B-B7AA-05F0CE6B7C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80367</xdr:colOff>
      <xdr:row>57</xdr:row>
      <xdr:rowOff>49707</xdr:rowOff>
    </xdr:from>
    <xdr:to>
      <xdr:col>13</xdr:col>
      <xdr:colOff>217289</xdr:colOff>
      <xdr:row>69</xdr:row>
      <xdr:rowOff>0</xdr:rowOff>
    </xdr:to>
    <xdr:graphicFrame macro="">
      <xdr:nvGraphicFramePr>
        <xdr:cNvPr id="6" name="Chart 5">
          <a:extLst>
            <a:ext uri="{FF2B5EF4-FFF2-40B4-BE49-F238E27FC236}">
              <a16:creationId xmlns:a16="http://schemas.microsoft.com/office/drawing/2014/main" id="{D42CE2B6-99F7-4F2C-ADD6-BF6622D5DB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22</xdr:col>
      <xdr:colOff>139898</xdr:colOff>
      <xdr:row>69</xdr:row>
      <xdr:rowOff>139005</xdr:rowOff>
    </xdr:from>
    <xdr:to>
      <xdr:col>29</xdr:col>
      <xdr:colOff>440531</xdr:colOff>
      <xdr:row>83</xdr:row>
      <xdr:rowOff>173533</xdr:rowOff>
    </xdr:to>
    <xdr:graphicFrame macro="">
      <xdr:nvGraphicFramePr>
        <xdr:cNvPr id="7" name="Chart 6">
          <a:extLst>
            <a:ext uri="{FF2B5EF4-FFF2-40B4-BE49-F238E27FC236}">
              <a16:creationId xmlns:a16="http://schemas.microsoft.com/office/drawing/2014/main" id="{E5B48C48-A4AF-4ABC-8E26-CED2F72089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30</xdr:col>
      <xdr:colOff>407788</xdr:colOff>
      <xdr:row>69</xdr:row>
      <xdr:rowOff>168770</xdr:rowOff>
    </xdr:from>
    <xdr:to>
      <xdr:col>38</xdr:col>
      <xdr:colOff>98226</xdr:colOff>
      <xdr:row>84</xdr:row>
      <xdr:rowOff>9821</xdr:rowOff>
    </xdr:to>
    <xdr:graphicFrame macro="">
      <xdr:nvGraphicFramePr>
        <xdr:cNvPr id="8" name="Chart 7">
          <a:extLst>
            <a:ext uri="{FF2B5EF4-FFF2-40B4-BE49-F238E27FC236}">
              <a16:creationId xmlns:a16="http://schemas.microsoft.com/office/drawing/2014/main" id="{E7A81EA9-3C7A-4011-AC3B-C7F40A6C5E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22</xdr:col>
      <xdr:colOff>244078</xdr:colOff>
      <xdr:row>87</xdr:row>
      <xdr:rowOff>5059</xdr:rowOff>
    </xdr:from>
    <xdr:to>
      <xdr:col>29</xdr:col>
      <xdr:colOff>544711</xdr:colOff>
      <xdr:row>101</xdr:row>
      <xdr:rowOff>39587</xdr:rowOff>
    </xdr:to>
    <xdr:graphicFrame macro="">
      <xdr:nvGraphicFramePr>
        <xdr:cNvPr id="9" name="Chart 8">
          <a:extLst>
            <a:ext uri="{FF2B5EF4-FFF2-40B4-BE49-F238E27FC236}">
              <a16:creationId xmlns:a16="http://schemas.microsoft.com/office/drawing/2014/main" id="{4E208562-CA90-4A9F-A459-573BA75029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30</xdr:col>
      <xdr:colOff>154781</xdr:colOff>
      <xdr:row>87</xdr:row>
      <xdr:rowOff>19943</xdr:rowOff>
    </xdr:from>
    <xdr:to>
      <xdr:col>37</xdr:col>
      <xdr:colOff>455414</xdr:colOff>
      <xdr:row>101</xdr:row>
      <xdr:rowOff>54471</xdr:rowOff>
    </xdr:to>
    <xdr:graphicFrame macro="">
      <xdr:nvGraphicFramePr>
        <xdr:cNvPr id="10" name="Chart 9">
          <a:extLst>
            <a:ext uri="{FF2B5EF4-FFF2-40B4-BE49-F238E27FC236}">
              <a16:creationId xmlns:a16="http://schemas.microsoft.com/office/drawing/2014/main" id="{3C6FED32-DE4B-40F5-9258-F6A9269E6F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22</xdr:col>
      <xdr:colOff>20836</xdr:colOff>
      <xdr:row>103</xdr:row>
      <xdr:rowOff>64591</xdr:rowOff>
    </xdr:from>
    <xdr:to>
      <xdr:col>29</xdr:col>
      <xdr:colOff>321469</xdr:colOff>
      <xdr:row>117</xdr:row>
      <xdr:rowOff>99119</xdr:rowOff>
    </xdr:to>
    <xdr:graphicFrame macro="">
      <xdr:nvGraphicFramePr>
        <xdr:cNvPr id="11" name="Chart 10">
          <a:extLst>
            <a:ext uri="{FF2B5EF4-FFF2-40B4-BE49-F238E27FC236}">
              <a16:creationId xmlns:a16="http://schemas.microsoft.com/office/drawing/2014/main" id="{F3F21659-EBAA-4CF0-B032-E6F3B124D8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30</xdr:col>
      <xdr:colOff>65484</xdr:colOff>
      <xdr:row>103</xdr:row>
      <xdr:rowOff>49707</xdr:rowOff>
    </xdr:from>
    <xdr:to>
      <xdr:col>37</xdr:col>
      <xdr:colOff>366117</xdr:colOff>
      <xdr:row>117</xdr:row>
      <xdr:rowOff>84235</xdr:rowOff>
    </xdr:to>
    <xdr:graphicFrame macro="">
      <xdr:nvGraphicFramePr>
        <xdr:cNvPr id="12" name="Chart 11">
          <a:extLst>
            <a:ext uri="{FF2B5EF4-FFF2-40B4-BE49-F238E27FC236}">
              <a16:creationId xmlns:a16="http://schemas.microsoft.com/office/drawing/2014/main" id="{5F109BB1-6F0C-47DA-816C-6137638D8E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21</xdr:col>
      <xdr:colOff>511968</xdr:colOff>
      <xdr:row>120</xdr:row>
      <xdr:rowOff>139004</xdr:rowOff>
    </xdr:from>
    <xdr:to>
      <xdr:col>29</xdr:col>
      <xdr:colOff>202406</xdr:colOff>
      <xdr:row>134</xdr:row>
      <xdr:rowOff>173532</xdr:rowOff>
    </xdr:to>
    <xdr:graphicFrame macro="">
      <xdr:nvGraphicFramePr>
        <xdr:cNvPr id="13" name="Chart 12">
          <a:extLst>
            <a:ext uri="{FF2B5EF4-FFF2-40B4-BE49-F238E27FC236}">
              <a16:creationId xmlns:a16="http://schemas.microsoft.com/office/drawing/2014/main" id="{DE840C7E-C7F3-4F8E-90EF-F9507A7DB6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303609</xdr:colOff>
      <xdr:row>135</xdr:row>
      <xdr:rowOff>0</xdr:rowOff>
    </xdr:from>
    <xdr:to>
      <xdr:col>24</xdr:col>
      <xdr:colOff>604242</xdr:colOff>
      <xdr:row>148</xdr:row>
      <xdr:rowOff>143768</xdr:rowOff>
    </xdr:to>
    <xdr:graphicFrame macro="">
      <xdr:nvGraphicFramePr>
        <xdr:cNvPr id="14" name="Chart 13">
          <a:extLst>
            <a:ext uri="{FF2B5EF4-FFF2-40B4-BE49-F238E27FC236}">
              <a16:creationId xmlns:a16="http://schemas.microsoft.com/office/drawing/2014/main" id="{CE2672D1-1EED-4CEA-9941-44282C0668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17</xdr:col>
      <xdr:colOff>296167</xdr:colOff>
      <xdr:row>149</xdr:row>
      <xdr:rowOff>109238</xdr:rowOff>
    </xdr:from>
    <xdr:to>
      <xdr:col>24</xdr:col>
      <xdr:colOff>596800</xdr:colOff>
      <xdr:row>163</xdr:row>
      <xdr:rowOff>143766</xdr:rowOff>
    </xdr:to>
    <xdr:graphicFrame macro="">
      <xdr:nvGraphicFramePr>
        <xdr:cNvPr id="15" name="Chart 14">
          <a:extLst>
            <a:ext uri="{FF2B5EF4-FFF2-40B4-BE49-F238E27FC236}">
              <a16:creationId xmlns:a16="http://schemas.microsoft.com/office/drawing/2014/main" id="{CB9AFF51-3CA9-4C0C-B8A0-0926A90EE4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25</xdr:col>
      <xdr:colOff>229196</xdr:colOff>
      <xdr:row>164</xdr:row>
      <xdr:rowOff>49708</xdr:rowOff>
    </xdr:from>
    <xdr:to>
      <xdr:col>32</xdr:col>
      <xdr:colOff>529829</xdr:colOff>
      <xdr:row>178</xdr:row>
      <xdr:rowOff>84236</xdr:rowOff>
    </xdr:to>
    <xdr:graphicFrame macro="">
      <xdr:nvGraphicFramePr>
        <xdr:cNvPr id="16" name="Chart 15">
          <a:extLst>
            <a:ext uri="{FF2B5EF4-FFF2-40B4-BE49-F238E27FC236}">
              <a16:creationId xmlns:a16="http://schemas.microsoft.com/office/drawing/2014/main" id="{AA67AA67-D03D-4AC9-829E-A6E442213A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17</xdr:col>
      <xdr:colOff>288727</xdr:colOff>
      <xdr:row>164</xdr:row>
      <xdr:rowOff>19943</xdr:rowOff>
    </xdr:from>
    <xdr:to>
      <xdr:col>24</xdr:col>
      <xdr:colOff>589360</xdr:colOff>
      <xdr:row>178</xdr:row>
      <xdr:rowOff>54471</xdr:rowOff>
    </xdr:to>
    <xdr:graphicFrame macro="">
      <xdr:nvGraphicFramePr>
        <xdr:cNvPr id="17" name="Chart 16">
          <a:extLst>
            <a:ext uri="{FF2B5EF4-FFF2-40B4-BE49-F238E27FC236}">
              <a16:creationId xmlns:a16="http://schemas.microsoft.com/office/drawing/2014/main" id="{4F557EF3-1D8D-41C7-8FB9-89C0A91774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33</xdr:col>
      <xdr:colOff>50601</xdr:colOff>
      <xdr:row>149</xdr:row>
      <xdr:rowOff>139004</xdr:rowOff>
    </xdr:from>
    <xdr:to>
      <xdr:col>40</xdr:col>
      <xdr:colOff>351234</xdr:colOff>
      <xdr:row>163</xdr:row>
      <xdr:rowOff>173532</xdr:rowOff>
    </xdr:to>
    <xdr:graphicFrame macro="">
      <xdr:nvGraphicFramePr>
        <xdr:cNvPr id="18" name="Chart 17">
          <a:extLst>
            <a:ext uri="{FF2B5EF4-FFF2-40B4-BE49-F238E27FC236}">
              <a16:creationId xmlns:a16="http://schemas.microsoft.com/office/drawing/2014/main" id="{1B26C873-9D29-462F-A224-6E25C14E7F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25</xdr:col>
      <xdr:colOff>244078</xdr:colOff>
      <xdr:row>149</xdr:row>
      <xdr:rowOff>124121</xdr:rowOff>
    </xdr:from>
    <xdr:to>
      <xdr:col>32</xdr:col>
      <xdr:colOff>544711</xdr:colOff>
      <xdr:row>163</xdr:row>
      <xdr:rowOff>158649</xdr:rowOff>
    </xdr:to>
    <xdr:graphicFrame macro="">
      <xdr:nvGraphicFramePr>
        <xdr:cNvPr id="19" name="Chart 18">
          <a:extLst>
            <a:ext uri="{FF2B5EF4-FFF2-40B4-BE49-F238E27FC236}">
              <a16:creationId xmlns:a16="http://schemas.microsoft.com/office/drawing/2014/main" id="{194F71F1-DAD8-4BD9-AB0D-F39BF3FCC1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17</xdr:col>
      <xdr:colOff>216330</xdr:colOff>
      <xdr:row>180</xdr:row>
      <xdr:rowOff>24861</xdr:rowOff>
    </xdr:from>
    <xdr:to>
      <xdr:col>24</xdr:col>
      <xdr:colOff>494008</xdr:colOff>
      <xdr:row>194</xdr:row>
      <xdr:rowOff>55858</xdr:rowOff>
    </xdr:to>
    <xdr:graphicFrame macro="">
      <xdr:nvGraphicFramePr>
        <xdr:cNvPr id="20" name="Chart 19">
          <a:extLst>
            <a:ext uri="{FF2B5EF4-FFF2-40B4-BE49-F238E27FC236}">
              <a16:creationId xmlns:a16="http://schemas.microsoft.com/office/drawing/2014/main" id="{FFF8FBB7-1665-4625-8876-82527D088F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12</xdr:col>
      <xdr:colOff>6457</xdr:colOff>
      <xdr:row>274</xdr:row>
      <xdr:rowOff>186302</xdr:rowOff>
    </xdr:from>
    <xdr:to>
      <xdr:col>19</xdr:col>
      <xdr:colOff>284135</xdr:colOff>
      <xdr:row>289</xdr:row>
      <xdr:rowOff>23570</xdr:rowOff>
    </xdr:to>
    <xdr:graphicFrame macro="">
      <xdr:nvGraphicFramePr>
        <xdr:cNvPr id="21" name="Chart 20">
          <a:extLst>
            <a:ext uri="{FF2B5EF4-FFF2-40B4-BE49-F238E27FC236}">
              <a16:creationId xmlns:a16="http://schemas.microsoft.com/office/drawing/2014/main" id="{AF61BEE2-011E-4A7F-AE07-5D8702C000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12</xdr:col>
      <xdr:colOff>6457</xdr:colOff>
      <xdr:row>297</xdr:row>
      <xdr:rowOff>186301</xdr:rowOff>
    </xdr:from>
    <xdr:to>
      <xdr:col>19</xdr:col>
      <xdr:colOff>284135</xdr:colOff>
      <xdr:row>312</xdr:row>
      <xdr:rowOff>23569</xdr:rowOff>
    </xdr:to>
    <xdr:graphicFrame macro="">
      <xdr:nvGraphicFramePr>
        <xdr:cNvPr id="22" name="Chart 21">
          <a:extLst>
            <a:ext uri="{FF2B5EF4-FFF2-40B4-BE49-F238E27FC236}">
              <a16:creationId xmlns:a16="http://schemas.microsoft.com/office/drawing/2014/main" id="{C1E299F1-B8D1-4EC4-BDA0-805997D345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6</xdr:col>
      <xdr:colOff>313195</xdr:colOff>
      <xdr:row>297</xdr:row>
      <xdr:rowOff>186302</xdr:rowOff>
    </xdr:from>
    <xdr:to>
      <xdr:col>10</xdr:col>
      <xdr:colOff>607017</xdr:colOff>
      <xdr:row>312</xdr:row>
      <xdr:rowOff>23570</xdr:rowOff>
    </xdr:to>
    <xdr:graphicFrame macro="">
      <xdr:nvGraphicFramePr>
        <xdr:cNvPr id="23" name="Chart 22">
          <a:extLst>
            <a:ext uri="{FF2B5EF4-FFF2-40B4-BE49-F238E27FC236}">
              <a16:creationId xmlns:a16="http://schemas.microsoft.com/office/drawing/2014/main" id="{83E15BA3-F04D-448A-81D9-5A8F52F240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9</xdr:col>
      <xdr:colOff>713244</xdr:colOff>
      <xdr:row>331</xdr:row>
      <xdr:rowOff>153207</xdr:rowOff>
    </xdr:from>
    <xdr:to>
      <xdr:col>14</xdr:col>
      <xdr:colOff>1046942</xdr:colOff>
      <xdr:row>346</xdr:row>
      <xdr:rowOff>41328</xdr:rowOff>
    </xdr:to>
    <xdr:graphicFrame macro="">
      <xdr:nvGraphicFramePr>
        <xdr:cNvPr id="24" name="Chart 23">
          <a:extLst>
            <a:ext uri="{FF2B5EF4-FFF2-40B4-BE49-F238E27FC236}">
              <a16:creationId xmlns:a16="http://schemas.microsoft.com/office/drawing/2014/main" id="{FC9EF5BE-FFB6-4473-8FB9-2B86095802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02\Company%20Data\2020\2020%20AJ%20Assignments\1526%20TAYplan%20Consortium%20Housing%20Need%20and%20Demand\1526%20Data%20Received\LM%20Core%20Output%201%20Data%20Mast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RundElian\Downloads\2018-house-proj-detailed-coun-prin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RundElian\Downloads\2018-house-proj-detailed-coun-low-mig%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RundElian\Downloads\2018-house-proj-detailed-coun-high-mig.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RundElian\Downloads\scotlands-labour-market-people-places-regions-protected-characteristics-publication-supporting-tables.od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erver02\Company%20Data\2021\2021%20AJ%20Assignments\1526%20TAYplan%20Consortium%20Housing%20Need%20and%20Demand\1526%20Data%20Analysis\Data%20Analysis%2013-01-21\Core%20Output%201%202021%20Data%20Analysis%20Mast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1"/>
      <sheetName val="2.2"/>
      <sheetName val="2.3"/>
      <sheetName val="2.3 Principle"/>
      <sheetName val="2.3 High"/>
      <sheetName val="2.3 Low"/>
      <sheetName val="2.4"/>
      <sheetName val="2.10"/>
      <sheetName val="2.12"/>
      <sheetName val="2.13"/>
      <sheetName val="2.14"/>
      <sheetName val="2.15"/>
      <sheetName val="2.16"/>
      <sheetName val="2.17"/>
      <sheetName val="2.19"/>
      <sheetName val="2.20"/>
      <sheetName val="2.21"/>
      <sheetName val="2.22"/>
      <sheetName val="2.23"/>
      <sheetName val="2.24"/>
      <sheetName val="2.25"/>
      <sheetName val="2.26"/>
    </sheetNames>
    <sheetDataSet>
      <sheetData sheetId="0" refreshError="1"/>
      <sheetData sheetId="1" refreshError="1"/>
      <sheetData sheetId="2" refreshError="1">
        <row r="6">
          <cell r="D6">
            <v>9413.5461419999992</v>
          </cell>
        </row>
        <row r="7">
          <cell r="D7">
            <v>2259.6165759999999</v>
          </cell>
        </row>
        <row r="8">
          <cell r="D8">
            <v>2867.753322</v>
          </cell>
        </row>
        <row r="9">
          <cell r="D9">
            <v>2851.3962609999999</v>
          </cell>
        </row>
        <row r="10">
          <cell r="D10">
            <v>3278.3146889999998</v>
          </cell>
        </row>
        <row r="11">
          <cell r="D11">
            <v>3368.9558699999998</v>
          </cell>
        </row>
        <row r="12">
          <cell r="D12">
            <v>3348.4666379999999</v>
          </cell>
        </row>
        <row r="13">
          <cell r="D13">
            <v>4127.6990480000004</v>
          </cell>
        </row>
        <row r="14">
          <cell r="D14">
            <v>4428.5296719999997</v>
          </cell>
        </row>
        <row r="15">
          <cell r="D15">
            <v>4538.8737300000003</v>
          </cell>
        </row>
        <row r="16">
          <cell r="D16">
            <v>3975.9879999999998</v>
          </cell>
        </row>
        <row r="17">
          <cell r="D17">
            <v>3946.2487569999998</v>
          </cell>
        </row>
        <row r="18">
          <cell r="D18">
            <v>3817.6681800000001</v>
          </cell>
        </row>
        <row r="19">
          <cell r="D19">
            <v>2649.4426349999999</v>
          </cell>
        </row>
        <row r="20">
          <cell r="D20">
            <v>2036.89112</v>
          </cell>
        </row>
        <row r="21">
          <cell r="D21">
            <v>1168.5060800000001</v>
          </cell>
        </row>
        <row r="22">
          <cell r="D22">
            <v>658.084878</v>
          </cell>
        </row>
        <row r="23">
          <cell r="D23">
            <v>9785.9868600000009</v>
          </cell>
        </row>
        <row r="24">
          <cell r="D24">
            <v>2590.8733200000001</v>
          </cell>
        </row>
        <row r="25">
          <cell r="D25">
            <v>3107.4430440000001</v>
          </cell>
        </row>
        <row r="26">
          <cell r="D26">
            <v>2862.1722329999998</v>
          </cell>
        </row>
        <row r="27">
          <cell r="D27">
            <v>2835.0520099999999</v>
          </cell>
        </row>
        <row r="28">
          <cell r="D28">
            <v>3210.3631919999998</v>
          </cell>
        </row>
        <row r="29">
          <cell r="D29">
            <v>2969.4883960000002</v>
          </cell>
        </row>
        <row r="30">
          <cell r="D30">
            <v>3897.9170730000001</v>
          </cell>
        </row>
        <row r="31">
          <cell r="D31">
            <v>4325.9301720000003</v>
          </cell>
        </row>
        <row r="32">
          <cell r="D32">
            <v>4276.5766649999996</v>
          </cell>
        </row>
        <row r="33">
          <cell r="D33">
            <v>3707.5737049999998</v>
          </cell>
        </row>
        <row r="34">
          <cell r="D34">
            <v>3743.6490899999999</v>
          </cell>
        </row>
        <row r="35">
          <cell r="D35">
            <v>3489.1474159999998</v>
          </cell>
        </row>
        <row r="36">
          <cell r="D36">
            <v>2270.663806</v>
          </cell>
        </row>
        <row r="37">
          <cell r="D37">
            <v>1525.330023</v>
          </cell>
        </row>
        <row r="38">
          <cell r="D38">
            <v>813.61015999999995</v>
          </cell>
        </row>
        <row r="39">
          <cell r="D39">
            <v>296.34913499999999</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etadata"/>
      <sheetName val="metadata text"/>
      <sheetName val="Scotland"/>
      <sheetName val="Aberdeen City"/>
      <sheetName val="Aberdeenshire"/>
      <sheetName val="Angus"/>
      <sheetName val="Argyll and Bute"/>
      <sheetName val="City of Edinburgh"/>
      <sheetName val="Clackmannanshire"/>
      <sheetName val="Dumfries and Galloway"/>
      <sheetName val="Dundee City"/>
      <sheetName val="East Ayrshire"/>
      <sheetName val="East Dunbartonshire"/>
      <sheetName val="East Lothian"/>
      <sheetName val="East Renfrewshire"/>
      <sheetName val="Falkirk"/>
      <sheetName val="Fife"/>
      <sheetName val="Glasgow City"/>
      <sheetName val="Highland"/>
      <sheetName val="Inverclyde"/>
      <sheetName val="Midlothian"/>
      <sheetName val="Moray"/>
      <sheetName val="Na h-Eileanan Siar"/>
      <sheetName val="North Ayrshire"/>
      <sheetName val="North Lanarkshire"/>
      <sheetName val="Orkney Islands"/>
      <sheetName val="Perth and Kinross"/>
      <sheetName val="Renfrewshire"/>
      <sheetName val="Scottish Borders"/>
      <sheetName val="Shetland Islands"/>
      <sheetName val="South Ayrshire"/>
      <sheetName val="South Lanarkshire"/>
      <sheetName val="Stirling"/>
      <sheetName val="West Dunbartonshire"/>
      <sheetName val="West Lothian"/>
      <sheetName val="Aberdeen City and Shire"/>
      <sheetName val="Clydeplan"/>
      <sheetName val="SESplan"/>
      <sheetName val="TAYplan"/>
      <sheetName val="Cairngorms National Park"/>
      <sheetName val="Loch Lomond and the Trossachs"/>
      <sheetName val="2.2-2"/>
    </sheetNames>
    <sheetDataSet>
      <sheetData sheetId="0"/>
      <sheetData sheetId="1"/>
      <sheetData sheetId="2"/>
      <sheetData sheetId="3">
        <row r="22">
          <cell r="C22">
            <v>461263</v>
          </cell>
          <cell r="M22">
            <v>498429</v>
          </cell>
          <cell r="W22">
            <v>537509</v>
          </cell>
        </row>
        <row r="39">
          <cell r="C39">
            <v>431424</v>
          </cell>
          <cell r="M39">
            <v>466633</v>
          </cell>
          <cell r="W39">
            <v>478616</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etadata"/>
      <sheetName val="metadata text"/>
      <sheetName val="Scotland"/>
      <sheetName val="Aberdeen City"/>
      <sheetName val="Aberdeenshire"/>
      <sheetName val="Angus"/>
      <sheetName val="Argyll and Bute"/>
      <sheetName val="City of Edinburgh"/>
      <sheetName val="Clackmannanshire"/>
      <sheetName val="Dumfries and Galloway"/>
      <sheetName val="Dundee City"/>
      <sheetName val="East Ayrshire"/>
      <sheetName val="East Dunbartonshire"/>
      <sheetName val="East Lothian"/>
      <sheetName val="East Renfrewshire"/>
      <sheetName val="Falkirk"/>
      <sheetName val="Fife"/>
      <sheetName val="Glasgow City"/>
      <sheetName val="Highland"/>
      <sheetName val="Inverclyde"/>
      <sheetName val="Midlothian"/>
      <sheetName val="Moray"/>
      <sheetName val="Na h-Eileanan Siar"/>
      <sheetName val="North Ayrshire"/>
      <sheetName val="North Lanarkshire"/>
      <sheetName val="Orkney Islands"/>
      <sheetName val="Perth and Kinross"/>
      <sheetName val="Renfrewshire"/>
      <sheetName val="Scottish Borders"/>
      <sheetName val="Shetland Islands"/>
      <sheetName val="South Ayrshire"/>
      <sheetName val="South Lanarkshire"/>
      <sheetName val="Stirling"/>
      <sheetName val="West Dunbartonshire"/>
      <sheetName val="West Lothian"/>
      <sheetName val="Aberdeen City and Shire"/>
      <sheetName val="Clydeplan"/>
      <sheetName val="SESplan"/>
      <sheetName val="TAYplan"/>
      <sheetName val="Cairngorms National Park"/>
      <sheetName val="Loch Lomond and the Trossachs"/>
    </sheetNames>
    <sheetDataSet>
      <sheetData sheetId="0"/>
      <sheetData sheetId="1"/>
      <sheetData sheetId="2"/>
      <sheetData sheetId="3">
        <row r="22">
          <cell r="C22">
            <v>461263</v>
          </cell>
          <cell r="M22">
            <v>496857</v>
          </cell>
          <cell r="W22">
            <v>533015</v>
          </cell>
        </row>
        <row r="39">
          <cell r="C39">
            <v>431424</v>
          </cell>
          <cell r="M39">
            <v>464323</v>
          </cell>
          <cell r="W39">
            <v>472084</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etadata"/>
      <sheetName val="metadata text"/>
      <sheetName val="Scotland"/>
      <sheetName val="Aberdeen City"/>
      <sheetName val="Aberdeenshire"/>
      <sheetName val="Angus"/>
      <sheetName val="Argyll and Bute"/>
      <sheetName val="City of Edinburgh"/>
      <sheetName val="Clackmannanshire"/>
      <sheetName val="Dumfries and Galloway"/>
      <sheetName val="Dundee City"/>
      <sheetName val="East Ayrshire"/>
      <sheetName val="East Dunbartonshire"/>
      <sheetName val="East Lothian"/>
      <sheetName val="East Renfrewshire"/>
      <sheetName val="Falkirk"/>
      <sheetName val="Fife"/>
      <sheetName val="Glasgow City"/>
      <sheetName val="Highland"/>
      <sheetName val="Inverclyde"/>
      <sheetName val="Midlothian"/>
      <sheetName val="Moray"/>
      <sheetName val="Na h-Eileanan Siar"/>
      <sheetName val="North Ayrshire"/>
      <sheetName val="North Lanarkshire"/>
      <sheetName val="Orkney Islands"/>
      <sheetName val="Perth and Kinross"/>
      <sheetName val="Renfrewshire"/>
      <sheetName val="Scottish Borders"/>
      <sheetName val="Shetland Islands"/>
      <sheetName val="South Ayrshire"/>
      <sheetName val="South Lanarkshire"/>
      <sheetName val="Stirling"/>
      <sheetName val="West Dunbartonshire"/>
      <sheetName val="West Lothian"/>
      <sheetName val="Aberdeen City and Shire"/>
      <sheetName val="Clydeplan"/>
      <sheetName val="SESplan"/>
      <sheetName val="TAYplan"/>
      <sheetName val="Cairngorms National Park"/>
      <sheetName val="Loch Lomond and the Trossachs"/>
    </sheetNames>
    <sheetDataSet>
      <sheetData sheetId="0"/>
      <sheetData sheetId="1"/>
      <sheetData sheetId="2"/>
      <sheetData sheetId="3">
        <row r="22">
          <cell r="C22">
            <v>461263</v>
          </cell>
          <cell r="M22">
            <v>500098</v>
          </cell>
          <cell r="W22">
            <v>542172</v>
          </cell>
        </row>
        <row r="39">
          <cell r="C39">
            <v>431424</v>
          </cell>
          <cell r="M39">
            <v>469074</v>
          </cell>
          <cell r="W39">
            <v>485348</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_Sheet"/>
      <sheetName val="List_of_Tables"/>
      <sheetName val="Notes"/>
      <sheetName val="Table_1_1_1"/>
      <sheetName val="Table_1_1_2"/>
      <sheetName val="Table_1_2_1"/>
      <sheetName val="Table_1_2_2"/>
      <sheetName val="Table_1_3_1"/>
      <sheetName val="Table_1_3_2"/>
      <sheetName val="Table_1_4_1"/>
      <sheetName val="Table_1_4_2"/>
      <sheetName val="Table_1_5_1"/>
      <sheetName val="Table_1_5_2"/>
      <sheetName val="Table_2_1_1"/>
      <sheetName val="Table_2_1_2"/>
      <sheetName val="Table_2_2_1"/>
      <sheetName val="Table_2_2_2"/>
      <sheetName val="Table_2_3_1"/>
      <sheetName val="Table_2_3_2"/>
      <sheetName val="Table_2_4_1"/>
      <sheetName val="Table_2_4_2"/>
      <sheetName val="Table_2_5_1"/>
      <sheetName val="Table_2_5_2"/>
      <sheetName val="Table_3_1_1"/>
      <sheetName val="Table_3_1_2"/>
      <sheetName val="Table_3_2_1"/>
      <sheetName val="Table_3_2_2"/>
      <sheetName val="Table_3_3_1"/>
      <sheetName val="Table_3_3_2"/>
      <sheetName val="Table_4_1_1"/>
      <sheetName val="Table_4_1_2"/>
      <sheetName val="Table_4_2_1"/>
      <sheetName val="Table_4_2_2"/>
      <sheetName val="Table_4_3_1"/>
      <sheetName val="Table_4_3_2"/>
      <sheetName val="Table_4_4_1"/>
      <sheetName val="Table_4_4_2"/>
      <sheetName val="Table_5_1_1"/>
      <sheetName val="Table_5_1_2"/>
      <sheetName val="Table_5_1_3"/>
      <sheetName val="Table_5_2_1"/>
      <sheetName val="Table_5_2_2"/>
      <sheetName val="Table_5_3_1"/>
      <sheetName val="Table_5_3_2"/>
      <sheetName val="Table_6_1_1"/>
      <sheetName val="Table_6_1_2"/>
      <sheetName val="Table_6_1_3"/>
      <sheetName val="Table_6_2_1"/>
      <sheetName val="Table_6_2_2"/>
      <sheetName val="Table_6_3_1"/>
      <sheetName val="Table_6_3_2"/>
      <sheetName val="Table_7_1_1"/>
      <sheetName val="Table_7_1_2"/>
    </sheetNames>
    <sheetDataSet>
      <sheetData sheetId="0" refreshError="1"/>
      <sheetData sheetId="1" refreshError="1"/>
      <sheetData sheetId="2" refreshError="1"/>
      <sheetData sheetId="3"/>
      <sheetData sheetId="4"/>
      <sheetData sheetId="5"/>
      <sheetData sheetId="6"/>
      <sheetData sheetId="7"/>
      <sheetData sheetId="8">
        <row r="7">
          <cell r="C7">
            <v>765200</v>
          </cell>
          <cell r="D7">
            <v>758700</v>
          </cell>
          <cell r="E7">
            <v>739200</v>
          </cell>
          <cell r="F7">
            <v>753700</v>
          </cell>
          <cell r="G7">
            <v>764300</v>
          </cell>
          <cell r="H7">
            <v>766800</v>
          </cell>
          <cell r="I7">
            <v>784600</v>
          </cell>
          <cell r="J7">
            <v>794600</v>
          </cell>
          <cell r="K7">
            <v>793900</v>
          </cell>
          <cell r="L7">
            <v>790300</v>
          </cell>
          <cell r="M7">
            <v>769300</v>
          </cell>
          <cell r="N7">
            <v>764000</v>
          </cell>
          <cell r="O7">
            <v>799400</v>
          </cell>
          <cell r="P7">
            <v>776500</v>
          </cell>
          <cell r="Q7">
            <v>777600</v>
          </cell>
          <cell r="R7">
            <v>772800</v>
          </cell>
          <cell r="S7">
            <v>797300</v>
          </cell>
          <cell r="T7">
            <v>815200</v>
          </cell>
        </row>
        <row r="8">
          <cell r="C8">
            <v>12100</v>
          </cell>
          <cell r="D8">
            <v>12400</v>
          </cell>
          <cell r="E8">
            <v>11700</v>
          </cell>
          <cell r="F8">
            <v>11500</v>
          </cell>
          <cell r="G8">
            <v>10200</v>
          </cell>
          <cell r="H8">
            <v>10500</v>
          </cell>
          <cell r="I8">
            <v>10300</v>
          </cell>
          <cell r="J8">
            <v>10500</v>
          </cell>
          <cell r="K8">
            <v>10600</v>
          </cell>
          <cell r="L8">
            <v>9800</v>
          </cell>
          <cell r="M8">
            <v>10800</v>
          </cell>
          <cell r="N8">
            <v>13700</v>
          </cell>
          <cell r="O8">
            <v>12100</v>
          </cell>
          <cell r="P8">
            <v>12300</v>
          </cell>
          <cell r="Q8">
            <v>13500</v>
          </cell>
          <cell r="R8">
            <v>13100</v>
          </cell>
          <cell r="S8">
            <v>13100</v>
          </cell>
          <cell r="T8">
            <v>14800</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Key Findings"/>
      <sheetName val="2.1 Population Projections"/>
      <sheetName val="2.2-2.4 Household Estimates "/>
      <sheetName val="2.5-2.9 Fife Council"/>
      <sheetName val="2.5-2.9 Dundee City"/>
      <sheetName val="2.5-2.9 Angus Council"/>
      <sheetName val="2.5-2.9 Perth Council"/>
      <sheetName val="2.10"/>
    </sheetNames>
    <sheetDataSet>
      <sheetData sheetId="0"/>
      <sheetData sheetId="1"/>
      <sheetData sheetId="2"/>
      <sheetData sheetId="3"/>
      <sheetData sheetId="4"/>
      <sheetData sheetId="5"/>
      <sheetData sheetId="6"/>
      <sheetData sheetId="7"/>
      <sheetData sheetId="8">
        <row r="24">
          <cell r="C24" t="str">
            <v>Jul 2019-Jun 2020</v>
          </cell>
        </row>
        <row r="25">
          <cell r="C25" t="str">
            <v>Rate</v>
          </cell>
        </row>
        <row r="26">
          <cell r="B26" t="str">
            <v>Angus</v>
          </cell>
          <cell r="C26">
            <v>2.5</v>
          </cell>
        </row>
        <row r="27">
          <cell r="B27" t="str">
            <v>Dundee City</v>
          </cell>
          <cell r="C27">
            <v>4.2</v>
          </cell>
        </row>
        <row r="28">
          <cell r="B28" t="str">
            <v>Fife</v>
          </cell>
          <cell r="C28">
            <v>3.9</v>
          </cell>
        </row>
        <row r="29">
          <cell r="B29" t="str">
            <v>Perth and Kinross</v>
          </cell>
          <cell r="C29">
            <v>2.6</v>
          </cell>
        </row>
        <row r="30">
          <cell r="B30" t="str">
            <v>Scotland</v>
          </cell>
          <cell r="C30">
            <v>3.3</v>
          </cell>
        </row>
        <row r="35">
          <cell r="E35" t="str">
            <v>Claimant Count rate (%)</v>
          </cell>
        </row>
        <row r="36">
          <cell r="B36" t="str">
            <v>Angus</v>
          </cell>
          <cell r="E36">
            <v>5.4</v>
          </cell>
        </row>
        <row r="37">
          <cell r="B37" t="str">
            <v>Dundee City</v>
          </cell>
          <cell r="E37">
            <v>7.2</v>
          </cell>
        </row>
        <row r="38">
          <cell r="B38" t="str">
            <v>Fife</v>
          </cell>
          <cell r="E38">
            <v>6.4</v>
          </cell>
        </row>
        <row r="39">
          <cell r="B39" t="str">
            <v>Perth and Kinross</v>
          </cell>
          <cell r="E39">
            <v>4.7</v>
          </cell>
        </row>
        <row r="40">
          <cell r="B40" t="str">
            <v>Scotland</v>
          </cell>
          <cell r="E40">
            <v>6</v>
          </cell>
        </row>
        <row r="45">
          <cell r="E45" t="str">
            <v>October 2020</v>
          </cell>
        </row>
        <row r="46">
          <cell r="B46" t="str">
            <v>Scotland</v>
          </cell>
          <cell r="E46">
            <v>7.3763948393124199</v>
          </cell>
        </row>
        <row r="47">
          <cell r="B47" t="str">
            <v>Angus</v>
          </cell>
          <cell r="E47">
            <v>7.6047401324997672</v>
          </cell>
        </row>
        <row r="48">
          <cell r="B48" t="str">
            <v>Dundee City</v>
          </cell>
          <cell r="E48">
            <v>7.638523059240458</v>
          </cell>
        </row>
        <row r="49">
          <cell r="B49" t="str">
            <v>Fife</v>
          </cell>
          <cell r="E49">
            <v>7.9753376101445301</v>
          </cell>
        </row>
        <row r="50">
          <cell r="B50" t="str">
            <v>Perth and Kinross</v>
          </cell>
          <cell r="E50">
            <v>6.5119324796274736</v>
          </cell>
        </row>
        <row r="54">
          <cell r="E54" t="str">
            <v>Alternative Claimant Count rate (%)</v>
          </cell>
        </row>
        <row r="55">
          <cell r="B55" t="str">
            <v>Angus</v>
          </cell>
          <cell r="E55">
            <v>5.8023532808777878</v>
          </cell>
        </row>
        <row r="56">
          <cell r="B56" t="str">
            <v>Dundee City</v>
          </cell>
          <cell r="E56">
            <v>7.6051567902105655</v>
          </cell>
        </row>
        <row r="57">
          <cell r="B57" t="str">
            <v>Fife</v>
          </cell>
          <cell r="E57">
            <v>6.9744885202652025</v>
          </cell>
        </row>
        <row r="58">
          <cell r="B58" t="str">
            <v>Perth and Kinross</v>
          </cell>
          <cell r="E58">
            <v>5.1038769834778339</v>
          </cell>
        </row>
        <row r="59">
          <cell r="B59" t="str">
            <v>Scotland</v>
          </cell>
          <cell r="E59">
            <v>6.3773708758581931</v>
          </cell>
        </row>
        <row r="64">
          <cell r="E64">
            <v>44044</v>
          </cell>
        </row>
        <row r="66">
          <cell r="B66" t="str">
            <v>Angus</v>
          </cell>
          <cell r="E66">
            <v>8.1999999999999993</v>
          </cell>
        </row>
        <row r="67">
          <cell r="B67" t="str">
            <v>Dundee City</v>
          </cell>
          <cell r="E67">
            <v>8.1999999999999993</v>
          </cell>
        </row>
        <row r="68">
          <cell r="B68" t="str">
            <v>Fife</v>
          </cell>
          <cell r="E68">
            <v>8.6</v>
          </cell>
        </row>
        <row r="69">
          <cell r="B69" t="str">
            <v>Perth and Kinross</v>
          </cell>
          <cell r="E69">
            <v>6.9</v>
          </cell>
        </row>
        <row r="72">
          <cell r="C72" t="str">
            <v>Full time employees</v>
          </cell>
          <cell r="F72" t="str">
            <v>Part time employees</v>
          </cell>
        </row>
        <row r="73">
          <cell r="C73" t="str">
            <v>Public</v>
          </cell>
          <cell r="D73" t="str">
            <v>Private</v>
          </cell>
          <cell r="E73" t="str">
            <v>All</v>
          </cell>
          <cell r="F73" t="str">
            <v>Public</v>
          </cell>
          <cell r="G73" t="str">
            <v>Private</v>
          </cell>
          <cell r="H73" t="str">
            <v>All</v>
          </cell>
        </row>
        <row r="74">
          <cell r="B74" t="str">
            <v>Angus</v>
          </cell>
          <cell r="C74">
            <v>4.0999999999999996</v>
          </cell>
          <cell r="D74">
            <v>17.2</v>
          </cell>
          <cell r="E74">
            <v>21.3</v>
          </cell>
          <cell r="F74">
            <v>2.4</v>
          </cell>
          <cell r="G74">
            <v>8.8000000000000007</v>
          </cell>
          <cell r="H74">
            <v>11.3</v>
          </cell>
        </row>
        <row r="75">
          <cell r="B75" t="str">
            <v>Dundee City</v>
          </cell>
          <cell r="C75">
            <v>15.5</v>
          </cell>
          <cell r="D75">
            <v>31.4</v>
          </cell>
          <cell r="E75">
            <v>47</v>
          </cell>
          <cell r="F75">
            <v>8.3000000000000007</v>
          </cell>
          <cell r="G75">
            <v>18.8</v>
          </cell>
          <cell r="H75">
            <v>27.1</v>
          </cell>
        </row>
        <row r="76">
          <cell r="B76" t="str">
            <v>Fife</v>
          </cell>
          <cell r="C76">
            <v>19.8</v>
          </cell>
          <cell r="D76">
            <v>67</v>
          </cell>
          <cell r="E76">
            <v>86.8</v>
          </cell>
          <cell r="F76">
            <v>12.3</v>
          </cell>
          <cell r="G76">
            <v>31.2</v>
          </cell>
          <cell r="H76">
            <v>43.6</v>
          </cell>
        </row>
        <row r="77">
          <cell r="B77" t="str">
            <v>Perth &amp; Kinross</v>
          </cell>
          <cell r="C77">
            <v>7.6</v>
          </cell>
          <cell r="D77">
            <v>33.299999999999997</v>
          </cell>
          <cell r="E77">
            <v>40.799999999999997</v>
          </cell>
          <cell r="F77">
            <v>3.5</v>
          </cell>
          <cell r="G77">
            <v>16.899999999999999</v>
          </cell>
          <cell r="H77">
            <v>20.399999999999999</v>
          </cell>
        </row>
        <row r="82">
          <cell r="C82" t="str">
            <v>01-03 : Agriculture,forestry &amp; fishing</v>
          </cell>
          <cell r="D82" t="str">
            <v>05-39 : Production</v>
          </cell>
          <cell r="E82" t="str">
            <v>41-43 : Construction</v>
          </cell>
          <cell r="F82" t="str">
            <v>45 : Motor trades</v>
          </cell>
          <cell r="G82" t="str">
            <v>46 : Wholesale</v>
          </cell>
          <cell r="H82" t="str">
            <v>47 : Retail</v>
          </cell>
          <cell r="I82" t="str">
            <v>49-53 : Transport &amp; Storage (inc postal)</v>
          </cell>
          <cell r="J82" t="str">
            <v>55-56 : Accommodation &amp; food services</v>
          </cell>
          <cell r="K82" t="str">
            <v>58-63 : Information &amp; communication</v>
          </cell>
          <cell r="L82" t="str">
            <v>64-66 : Finance &amp; insurance</v>
          </cell>
          <cell r="M82" t="str">
            <v>68 : Property</v>
          </cell>
          <cell r="N82" t="str">
            <v>69-75 : Professional, scientific &amp; technical</v>
          </cell>
          <cell r="O82" t="str">
            <v>77-82 : Business administration &amp; support services</v>
          </cell>
          <cell r="P82" t="str">
            <v>84 : Public administration &amp; defence</v>
          </cell>
          <cell r="Q82" t="str">
            <v>85 : Education</v>
          </cell>
          <cell r="R82" t="str">
            <v>86-88 : Health</v>
          </cell>
          <cell r="S82" t="str">
            <v>90-99 : Arts, entertainment, recreation &amp; other services</v>
          </cell>
        </row>
        <row r="83">
          <cell r="B83" t="str">
            <v>Angus</v>
          </cell>
          <cell r="C83">
            <v>680</v>
          </cell>
          <cell r="D83">
            <v>270</v>
          </cell>
          <cell r="E83">
            <v>495</v>
          </cell>
          <cell r="F83">
            <v>110</v>
          </cell>
          <cell r="G83">
            <v>120</v>
          </cell>
          <cell r="H83">
            <v>280</v>
          </cell>
          <cell r="I83">
            <v>130</v>
          </cell>
          <cell r="J83">
            <v>310</v>
          </cell>
          <cell r="K83">
            <v>75</v>
          </cell>
          <cell r="L83">
            <v>30</v>
          </cell>
          <cell r="M83">
            <v>105</v>
          </cell>
          <cell r="N83">
            <v>670</v>
          </cell>
          <cell r="O83">
            <v>240</v>
          </cell>
          <cell r="P83">
            <v>0</v>
          </cell>
          <cell r="Q83">
            <v>35</v>
          </cell>
          <cell r="R83">
            <v>130</v>
          </cell>
          <cell r="S83">
            <v>255</v>
          </cell>
        </row>
        <row r="84">
          <cell r="B84" t="str">
            <v>Dundee City</v>
          </cell>
          <cell r="C84">
            <v>20</v>
          </cell>
          <cell r="D84">
            <v>195</v>
          </cell>
          <cell r="E84">
            <v>460</v>
          </cell>
          <cell r="F84">
            <v>135</v>
          </cell>
          <cell r="G84">
            <v>110</v>
          </cell>
          <cell r="H84">
            <v>335</v>
          </cell>
          <cell r="I84">
            <v>110</v>
          </cell>
          <cell r="J84">
            <v>365</v>
          </cell>
          <cell r="K84">
            <v>150</v>
          </cell>
          <cell r="L84">
            <v>70</v>
          </cell>
          <cell r="M84">
            <v>170</v>
          </cell>
          <cell r="N84">
            <v>460</v>
          </cell>
          <cell r="O84">
            <v>240</v>
          </cell>
          <cell r="P84">
            <v>5</v>
          </cell>
          <cell r="Q84">
            <v>50</v>
          </cell>
          <cell r="R84">
            <v>185</v>
          </cell>
          <cell r="S84">
            <v>320</v>
          </cell>
        </row>
        <row r="85">
          <cell r="B85" t="str">
            <v>Fife</v>
          </cell>
          <cell r="C85">
            <v>630</v>
          </cell>
          <cell r="D85">
            <v>865</v>
          </cell>
          <cell r="E85">
            <v>1305</v>
          </cell>
          <cell r="F85">
            <v>315</v>
          </cell>
          <cell r="G85">
            <v>280</v>
          </cell>
          <cell r="H85">
            <v>765</v>
          </cell>
          <cell r="I85">
            <v>470</v>
          </cell>
          <cell r="J85">
            <v>810</v>
          </cell>
          <cell r="K85">
            <v>530</v>
          </cell>
          <cell r="L85">
            <v>125</v>
          </cell>
          <cell r="M85">
            <v>270</v>
          </cell>
          <cell r="N85">
            <v>1595</v>
          </cell>
          <cell r="O85">
            <v>755</v>
          </cell>
          <cell r="P85">
            <v>5</v>
          </cell>
          <cell r="Q85">
            <v>95</v>
          </cell>
          <cell r="R85">
            <v>335</v>
          </cell>
          <cell r="S85">
            <v>750</v>
          </cell>
        </row>
        <row r="86">
          <cell r="B86" t="str">
            <v>Perth and Kinross</v>
          </cell>
          <cell r="C86">
            <v>935</v>
          </cell>
          <cell r="D86">
            <v>360</v>
          </cell>
          <cell r="E86">
            <v>760</v>
          </cell>
          <cell r="F86">
            <v>180</v>
          </cell>
          <cell r="G86">
            <v>200</v>
          </cell>
          <cell r="H86">
            <v>410</v>
          </cell>
          <cell r="I86">
            <v>145</v>
          </cell>
          <cell r="J86">
            <v>535</v>
          </cell>
          <cell r="K86">
            <v>255</v>
          </cell>
          <cell r="L86">
            <v>85</v>
          </cell>
          <cell r="M86">
            <v>210</v>
          </cell>
          <cell r="N86">
            <v>860</v>
          </cell>
          <cell r="O86">
            <v>455</v>
          </cell>
          <cell r="P86">
            <v>0</v>
          </cell>
          <cell r="Q86">
            <v>70</v>
          </cell>
          <cell r="R86">
            <v>190</v>
          </cell>
          <cell r="S86">
            <v>465</v>
          </cell>
        </row>
        <row r="92">
          <cell r="T92" t="str">
            <v>Change since 2009</v>
          </cell>
        </row>
        <row r="93">
          <cell r="T93" t="str">
            <v>Rate  (%pts)</v>
          </cell>
        </row>
        <row r="94">
          <cell r="B94" t="str">
            <v>Angus</v>
          </cell>
          <cell r="T94">
            <v>1.4</v>
          </cell>
        </row>
        <row r="95">
          <cell r="B95" t="str">
            <v>Dundee City</v>
          </cell>
          <cell r="T95">
            <v>0.4</v>
          </cell>
        </row>
        <row r="96">
          <cell r="B96" t="str">
            <v>Fife</v>
          </cell>
          <cell r="T96">
            <v>2.5</v>
          </cell>
        </row>
        <row r="97">
          <cell r="B97" t="str">
            <v>Perth &amp; Kinross</v>
          </cell>
          <cell r="T97">
            <v>8</v>
          </cell>
        </row>
        <row r="101">
          <cell r="T101" t="str">
            <v>Change since 2009</v>
          </cell>
        </row>
        <row r="102">
          <cell r="T102" t="str">
            <v>Rate  (%pts)</v>
          </cell>
        </row>
        <row r="103">
          <cell r="B103" t="str">
            <v>Angus</v>
          </cell>
          <cell r="T103">
            <v>1.4</v>
          </cell>
        </row>
        <row r="104">
          <cell r="B104" t="str">
            <v>Dundee City</v>
          </cell>
          <cell r="T104">
            <v>1.5</v>
          </cell>
        </row>
        <row r="105">
          <cell r="B105" t="str">
            <v>Fife</v>
          </cell>
          <cell r="T105">
            <v>1.6</v>
          </cell>
        </row>
        <row r="106">
          <cell r="B106" t="str">
            <v>Perth &amp; Kinross</v>
          </cell>
          <cell r="T106">
            <v>-6.8</v>
          </cell>
        </row>
        <row r="110">
          <cell r="T110" t="str">
            <v>Change since 2009</v>
          </cell>
        </row>
        <row r="111">
          <cell r="T111" t="str">
            <v>Rate  (%pts)</v>
          </cell>
        </row>
        <row r="112">
          <cell r="B112" t="str">
            <v>Angus</v>
          </cell>
          <cell r="T112">
            <v>1.6</v>
          </cell>
        </row>
        <row r="113">
          <cell r="B113" t="str">
            <v>Dundee City</v>
          </cell>
          <cell r="T113">
            <v>2.7</v>
          </cell>
        </row>
        <row r="114">
          <cell r="B114" t="str">
            <v>Fife</v>
          </cell>
          <cell r="T114">
            <v>3.7</v>
          </cell>
        </row>
        <row r="115">
          <cell r="B115" t="str">
            <v>Perth &amp; Kinross</v>
          </cell>
          <cell r="T115">
            <v>5.8</v>
          </cell>
        </row>
        <row r="119">
          <cell r="T119" t="str">
            <v>Change since 2009</v>
          </cell>
        </row>
        <row r="120">
          <cell r="T120" t="str">
            <v>Rate  (%pts)</v>
          </cell>
        </row>
        <row r="121">
          <cell r="B121" t="str">
            <v>Angus</v>
          </cell>
          <cell r="T121">
            <v>1.2</v>
          </cell>
        </row>
        <row r="122">
          <cell r="B122" t="str">
            <v>Dundee City</v>
          </cell>
          <cell r="T122">
            <v>-2.2000000000000002</v>
          </cell>
        </row>
        <row r="123">
          <cell r="B123" t="str">
            <v>Fife</v>
          </cell>
          <cell r="T123">
            <v>1.3</v>
          </cell>
        </row>
        <row r="124">
          <cell r="B124" t="str">
            <v>Perth &amp; Kinross</v>
          </cell>
          <cell r="T124">
            <v>10.3</v>
          </cell>
        </row>
        <row r="128">
          <cell r="T128" t="str">
            <v>Change since 2009</v>
          </cell>
        </row>
        <row r="129">
          <cell r="T129" t="str">
            <v>Rate  (%pts)</v>
          </cell>
        </row>
        <row r="130">
          <cell r="B130" t="str">
            <v>Angus</v>
          </cell>
          <cell r="T130">
            <v>-6.3</v>
          </cell>
        </row>
        <row r="131">
          <cell r="B131" t="str">
            <v>Dundee City</v>
          </cell>
          <cell r="T131">
            <v>5.5</v>
          </cell>
        </row>
        <row r="132">
          <cell r="B132" t="str">
            <v>Fife</v>
          </cell>
          <cell r="T132">
            <v>3.1</v>
          </cell>
        </row>
        <row r="133">
          <cell r="B133" t="str">
            <v>Perth &amp; Kinross</v>
          </cell>
          <cell r="T133">
            <v>10.5</v>
          </cell>
        </row>
        <row r="139">
          <cell r="F139" t="str">
            <v>Percentage of Pop</v>
          </cell>
        </row>
        <row r="140">
          <cell r="F140" t="str">
            <v>Men</v>
          </cell>
          <cell r="G140" t="str">
            <v>Women</v>
          </cell>
          <cell r="H140" t="str">
            <v>People</v>
          </cell>
        </row>
        <row r="141">
          <cell r="B141" t="str">
            <v>SCOTLAND</v>
          </cell>
          <cell r="F141">
            <v>7.6</v>
          </cell>
          <cell r="G141">
            <v>4.5</v>
          </cell>
          <cell r="H141">
            <v>6</v>
          </cell>
        </row>
        <row r="142">
          <cell r="B142" t="str">
            <v>Angus</v>
          </cell>
          <cell r="F142">
            <v>6.9</v>
          </cell>
          <cell r="G142">
            <v>4</v>
          </cell>
          <cell r="H142">
            <v>5.4</v>
          </cell>
        </row>
        <row r="143">
          <cell r="B143" t="str">
            <v>Dundee City</v>
          </cell>
          <cell r="F143">
            <v>9.6</v>
          </cell>
          <cell r="G143">
            <v>4.9000000000000004</v>
          </cell>
          <cell r="H143">
            <v>7.2</v>
          </cell>
        </row>
        <row r="144">
          <cell r="B144" t="str">
            <v>Fife</v>
          </cell>
          <cell r="F144">
            <v>8</v>
          </cell>
          <cell r="G144">
            <v>4.9000000000000004</v>
          </cell>
          <cell r="H144">
            <v>6.4</v>
          </cell>
        </row>
        <row r="145">
          <cell r="B145" t="str">
            <v>Perth &amp; Kinross</v>
          </cell>
          <cell r="F145">
            <v>5.6</v>
          </cell>
          <cell r="G145">
            <v>3.7</v>
          </cell>
          <cell r="H145">
            <v>4.7</v>
          </cell>
        </row>
        <row r="150">
          <cell r="F150" t="str">
            <v>Mean</v>
          </cell>
        </row>
        <row r="151">
          <cell r="B151" t="str">
            <v>Angus</v>
          </cell>
          <cell r="F151">
            <v>506.3</v>
          </cell>
        </row>
        <row r="152">
          <cell r="B152" t="str">
            <v>Dundee City</v>
          </cell>
          <cell r="F152">
            <v>498.2</v>
          </cell>
        </row>
        <row r="153">
          <cell r="B153" t="str">
            <v>Fife</v>
          </cell>
          <cell r="F153">
            <v>529.6</v>
          </cell>
        </row>
        <row r="154">
          <cell r="B154" t="str">
            <v>Perth and Kinross</v>
          </cell>
          <cell r="F154">
            <v>562.29999999999995</v>
          </cell>
        </row>
        <row r="155">
          <cell r="F155" t="str">
            <v>Mean</v>
          </cell>
        </row>
        <row r="156">
          <cell r="B156" t="str">
            <v>Angus</v>
          </cell>
          <cell r="F156">
            <v>626.5</v>
          </cell>
        </row>
        <row r="157">
          <cell r="B157" t="str">
            <v>Dundee City</v>
          </cell>
          <cell r="F157">
            <v>602.9</v>
          </cell>
        </row>
        <row r="158">
          <cell r="B158" t="str">
            <v>Fife</v>
          </cell>
          <cell r="F158">
            <v>645.6</v>
          </cell>
        </row>
        <row r="159">
          <cell r="B159" t="str">
            <v>Perth and Kinross</v>
          </cell>
          <cell r="F159">
            <v>678.4</v>
          </cell>
        </row>
        <row r="160">
          <cell r="F160" t="str">
            <v>Mean</v>
          </cell>
        </row>
        <row r="161">
          <cell r="B161" t="str">
            <v>Angus</v>
          </cell>
          <cell r="F161">
            <v>239</v>
          </cell>
        </row>
        <row r="162">
          <cell r="B162" t="str">
            <v>Dundee City</v>
          </cell>
          <cell r="F162">
            <v>244.1</v>
          </cell>
        </row>
        <row r="163">
          <cell r="B163" t="str">
            <v>Fife</v>
          </cell>
          <cell r="F163">
            <v>264.89999999999998</v>
          </cell>
        </row>
        <row r="164">
          <cell r="B164" t="str">
            <v>Perth and Kinross</v>
          </cell>
          <cell r="F164">
            <v>254.4</v>
          </cell>
        </row>
        <row r="165">
          <cell r="F165" t="str">
            <v>Mean</v>
          </cell>
        </row>
        <row r="166">
          <cell r="B166" t="str">
            <v>Angus</v>
          </cell>
          <cell r="F166">
            <v>589.29999999999995</v>
          </cell>
        </row>
        <row r="167">
          <cell r="B167" t="str">
            <v>Dundee City</v>
          </cell>
          <cell r="F167">
            <v>597.79999999999995</v>
          </cell>
        </row>
        <row r="168">
          <cell r="B168" t="str">
            <v>Fife</v>
          </cell>
          <cell r="F168">
            <v>611.1</v>
          </cell>
        </row>
        <row r="169">
          <cell r="B169" t="str">
            <v>Perth and Kinross</v>
          </cell>
          <cell r="F169">
            <v>651.9</v>
          </cell>
        </row>
        <row r="170">
          <cell r="F170" t="str">
            <v>Mean</v>
          </cell>
        </row>
        <row r="171">
          <cell r="B171" t="str">
            <v>Angus</v>
          </cell>
          <cell r="F171">
            <v>438.9</v>
          </cell>
        </row>
        <row r="172">
          <cell r="B172" t="str">
            <v>Dundee City</v>
          </cell>
          <cell r="F172">
            <v>426</v>
          </cell>
        </row>
        <row r="173">
          <cell r="B173" t="str">
            <v>Fife</v>
          </cell>
          <cell r="F173">
            <v>464.8</v>
          </cell>
        </row>
        <row r="174">
          <cell r="B174" t="str">
            <v>Perth and Kinross</v>
          </cell>
          <cell r="F174">
            <v>472.5</v>
          </cell>
        </row>
        <row r="206">
          <cell r="C206" t="str">
            <v>All</v>
          </cell>
          <cell r="D206" t="str">
            <v>Male</v>
          </cell>
          <cell r="E206" t="str">
            <v>Female</v>
          </cell>
          <cell r="F206" t="str">
            <v>Full Time</v>
          </cell>
          <cell r="G206" t="str">
            <v>Part Time</v>
          </cell>
        </row>
        <row r="207">
          <cell r="B207" t="str">
            <v>Angus</v>
          </cell>
          <cell r="C207">
            <v>32.700000000000003</v>
          </cell>
          <cell r="D207">
            <v>36.4</v>
          </cell>
          <cell r="E207">
            <v>29.8</v>
          </cell>
          <cell r="F207">
            <v>39.1</v>
          </cell>
          <cell r="G207">
            <v>18.5</v>
          </cell>
        </row>
        <row r="208">
          <cell r="B208" t="str">
            <v>Dundee City</v>
          </cell>
          <cell r="C208">
            <v>32.6</v>
          </cell>
          <cell r="D208">
            <v>37.5</v>
          </cell>
          <cell r="E208">
            <v>29.1</v>
          </cell>
          <cell r="F208">
            <v>38.200000000000003</v>
          </cell>
          <cell r="G208">
            <v>19.100000000000001</v>
          </cell>
        </row>
        <row r="209">
          <cell r="B209" t="str">
            <v>Fife</v>
          </cell>
          <cell r="C209">
            <v>32.5</v>
          </cell>
          <cell r="D209">
            <v>35.5</v>
          </cell>
          <cell r="E209">
            <v>30.1</v>
          </cell>
          <cell r="F209">
            <v>38.1</v>
          </cell>
          <cell r="G209">
            <v>19.7</v>
          </cell>
        </row>
        <row r="210">
          <cell r="B210" t="str">
            <v>Perth and Kinross</v>
          </cell>
          <cell r="C210">
            <v>33.200000000000003</v>
          </cell>
          <cell r="D210">
            <v>36.700000000000003</v>
          </cell>
          <cell r="E210">
            <v>29.7</v>
          </cell>
          <cell r="F210">
            <v>38.700000000000003</v>
          </cell>
          <cell r="G210">
            <v>18.7</v>
          </cell>
        </row>
        <row r="277">
          <cell r="C277" t="str">
            <v>% Participation</v>
          </cell>
        </row>
        <row r="278">
          <cell r="B278" t="str">
            <v>Angus</v>
          </cell>
          <cell r="C278">
            <v>0.91400000000000003</v>
          </cell>
        </row>
        <row r="279">
          <cell r="B279" t="str">
            <v>Dundee City</v>
          </cell>
          <cell r="C279">
            <v>0.9</v>
          </cell>
        </row>
        <row r="280">
          <cell r="B280" t="str">
            <v>Fife</v>
          </cell>
          <cell r="C280">
            <v>0.91700000000000004</v>
          </cell>
        </row>
        <row r="281">
          <cell r="B281" t="str">
            <v>Perth &amp; Kinross</v>
          </cell>
          <cell r="C281">
            <v>0.94799999999999995</v>
          </cell>
        </row>
        <row r="299">
          <cell r="C299" t="str">
            <v>Starts by GA home local authority</v>
          </cell>
          <cell r="D299" t="str">
            <v>Starts by employer local authority</v>
          </cell>
        </row>
        <row r="300">
          <cell r="B300" t="str">
            <v>Angus</v>
          </cell>
          <cell r="C300">
            <v>3.6999999999999998E-2</v>
          </cell>
          <cell r="D300">
            <v>0.02</v>
          </cell>
        </row>
        <row r="301">
          <cell r="B301" t="str">
            <v>Dundee City</v>
          </cell>
          <cell r="C301">
            <v>2.8000000000000001E-2</v>
          </cell>
          <cell r="D301">
            <v>3.6999999999999998E-2</v>
          </cell>
        </row>
        <row r="302">
          <cell r="B302" t="str">
            <v>Fife</v>
          </cell>
          <cell r="C302">
            <v>8.4000000000000005E-2</v>
          </cell>
          <cell r="D302">
            <v>5.2999999999999999E-2</v>
          </cell>
        </row>
        <row r="303">
          <cell r="B303" t="str">
            <v>P&amp;K</v>
          </cell>
          <cell r="C303">
            <v>1.4E-2</v>
          </cell>
          <cell r="D303">
            <v>0.01</v>
          </cell>
        </row>
        <row r="313">
          <cell r="D313" t="str">
            <v>% of total</v>
          </cell>
        </row>
        <row r="314">
          <cell r="B314" t="str">
            <v>Angus</v>
          </cell>
          <cell r="D314">
            <v>1.4E-2</v>
          </cell>
        </row>
        <row r="315">
          <cell r="B315" t="str">
            <v>Dundee City</v>
          </cell>
          <cell r="D315">
            <v>2.9000000000000001E-2</v>
          </cell>
        </row>
        <row r="316">
          <cell r="B316" t="str">
            <v>Fife</v>
          </cell>
          <cell r="D316">
            <v>4.5999999999999999E-2</v>
          </cell>
        </row>
        <row r="317">
          <cell r="B317" t="str">
            <v>P&amp;K</v>
          </cell>
          <cell r="D317">
            <v>1.4E-2</v>
          </cell>
        </row>
        <row r="338">
          <cell r="C338" t="str">
            <v>Cohort 1</v>
          </cell>
          <cell r="D338" t="str">
            <v>Cohort 2</v>
          </cell>
          <cell r="E338" t="str">
            <v>Cohort 3</v>
          </cell>
          <cell r="F338" t="str">
            <v>Cohort 4</v>
          </cell>
        </row>
        <row r="339">
          <cell r="B339" t="str">
            <v>Angus</v>
          </cell>
          <cell r="C339">
            <v>0.5</v>
          </cell>
          <cell r="D339">
            <v>0.875</v>
          </cell>
          <cell r="E339">
            <v>0.75</v>
          </cell>
          <cell r="F339">
            <v>1</v>
          </cell>
        </row>
        <row r="340">
          <cell r="B340" t="str">
            <v>Dundee City</v>
          </cell>
          <cell r="C340">
            <v>0.25</v>
          </cell>
          <cell r="D340">
            <v>0.375</v>
          </cell>
          <cell r="E340">
            <v>0.875</v>
          </cell>
          <cell r="F340">
            <v>1</v>
          </cell>
        </row>
        <row r="341">
          <cell r="B341" t="str">
            <v>Fife</v>
          </cell>
          <cell r="C341">
            <v>0.44400000000000001</v>
          </cell>
          <cell r="D341">
            <v>0.88900000000000001</v>
          </cell>
          <cell r="E341">
            <v>1</v>
          </cell>
          <cell r="F341">
            <v>1</v>
          </cell>
        </row>
        <row r="342">
          <cell r="B342" t="str">
            <v>P&amp;K</v>
          </cell>
          <cell r="C342">
            <v>0.5</v>
          </cell>
          <cell r="D342">
            <v>0.6</v>
          </cell>
          <cell r="E342">
            <v>0.72699999999999998</v>
          </cell>
          <cell r="F342">
            <v>0.81799999999999995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1526%20TAYplan%20Consortium%20Housing%20Need%20and%20Demand/1526%20Data%20Analysis/1526%20Data%20Received/Fife%20Council/2.%20Core%20Output%201/SIMD/simd2012_data_00410767_plusintervals.csv" TargetMode="External"/><Relationship Id="rId1" Type="http://schemas.openxmlformats.org/officeDocument/2006/relationships/hyperlink" Target="../../1526%20TAYplan%20Consortium%20Housing%20Need%20and%20Demand/1526%20Data%20Analysis/1526%20Data%20Received/Perth%20and%20Kinross%20Council/2.%20Core%20Output%201/2.27%20TAYplan%20Travel%20to%20Work%20Area%20Analysi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nrscotland.gov.uk/statistics-and-data/statistics/statistics-by-theme/population/population-estimates/mid-year-population-estimates/mid-2021" TargetMode="External"/><Relationship Id="rId13" Type="http://schemas.openxmlformats.org/officeDocument/2006/relationships/hyperlink" Target="https://www.nrscotland.gov.uk/statistics-and-data/statistics/statistics-by-theme/population/population-projections/sub-national-population-projections/2018-based/detailed-datasets" TargetMode="External"/><Relationship Id="rId18" Type="http://schemas.openxmlformats.org/officeDocument/2006/relationships/hyperlink" Target="https://www.nrscotland.gov.uk/statistics-and-data/statistics/statistics-by-theme/population/population-projections/sub-national-population-projections/2018-based/detailed-datasets" TargetMode="External"/><Relationship Id="rId3" Type="http://schemas.openxmlformats.org/officeDocument/2006/relationships/hyperlink" Target="https://www.nrscotland.gov.uk/statistics-and-data/statistics/statistics-by-theme/population/population-estimates/mid-year-population-estimates/mid-2021" TargetMode="External"/><Relationship Id="rId21" Type="http://schemas.openxmlformats.org/officeDocument/2006/relationships/hyperlink" Target="https://www.nrscotland.gov.uk/statistics-and-data/statistics/statistics-by-theme/population/population-projections/sub-national-population-projections/2018-based/detailed-datasets" TargetMode="External"/><Relationship Id="rId7" Type="http://schemas.openxmlformats.org/officeDocument/2006/relationships/hyperlink" Target="https://www.nrscotland.gov.uk/statistics-and-data/statistics/statistics-by-theme/population/population-estimates/mid-year-population-estimates/mid-2021" TargetMode="External"/><Relationship Id="rId12" Type="http://schemas.openxmlformats.org/officeDocument/2006/relationships/hyperlink" Target="https://www.nrscotland.gov.uk/statistics-and-data/statistics/statistics-by-theme/population/population-projections/sub-national-population-projections/2018-based/detailed-datasets" TargetMode="External"/><Relationship Id="rId17" Type="http://schemas.openxmlformats.org/officeDocument/2006/relationships/hyperlink" Target="https://www.nrscotland.gov.uk/statistics-and-data/statistics/statistics-by-theme/population/population-projections/sub-national-population-projections/2018-based/detailed-datasets" TargetMode="External"/><Relationship Id="rId25" Type="http://schemas.openxmlformats.org/officeDocument/2006/relationships/drawing" Target="../drawings/drawing1.xml"/><Relationship Id="rId2" Type="http://schemas.openxmlformats.org/officeDocument/2006/relationships/hyperlink" Target="https://www.nrscotland.gov.uk/statistics-and-data/statistics/statistics-by-theme/vital-events/general-publications/weekly-and-monthly-data-on-births-and-deaths/monthly-data-on-births-and-deaths-registered-in-scotland" TargetMode="External"/><Relationship Id="rId16" Type="http://schemas.openxmlformats.org/officeDocument/2006/relationships/hyperlink" Target="https://www.nrscotland.gov.uk/statistics-and-data/statistics/statistics-by-theme/migration/migration-statistics/local-area-migration" TargetMode="External"/><Relationship Id="rId20" Type="http://schemas.openxmlformats.org/officeDocument/2006/relationships/hyperlink" Target="https://www.nrscotland.gov.uk/statistics-and-data/statistics/statistics-by-theme/migration/migration-statistics/local-area-migration" TargetMode="External"/><Relationship Id="rId1" Type="http://schemas.openxmlformats.org/officeDocument/2006/relationships/hyperlink" Target="https://www.nrscotland.gov.uk/statistics-and-data/statistics/statistics-by-theme/vital-events/general-publications/weekly-and-monthly-data-on-births-and-deaths/monthly-data-on-births-and-deaths-registered-in-scotland" TargetMode="External"/><Relationship Id="rId6" Type="http://schemas.openxmlformats.org/officeDocument/2006/relationships/hyperlink" Target="https://www.nrscotland.gov.uk/statistics-and-data/statistics/statistics-by-theme/population/population-estimates/mid-year-population-estimates/mid-2021" TargetMode="External"/><Relationship Id="rId11" Type="http://schemas.openxmlformats.org/officeDocument/2006/relationships/hyperlink" Target="https://www.nrscotland.gov.uk/statistics-and-data/statistics/statistics-by-theme/population/population-projections/sub-national-population-projections/2018-based/detailed-datasets" TargetMode="External"/><Relationship Id="rId24" Type="http://schemas.openxmlformats.org/officeDocument/2006/relationships/printerSettings" Target="../printerSettings/printerSettings3.bin"/><Relationship Id="rId5" Type="http://schemas.openxmlformats.org/officeDocument/2006/relationships/hyperlink" Target="https://www.nrscotland.gov.uk/statistics-and-data/statistics/statistics-by-theme/population/population-estimates/mid-year-population-estimates/population-estimates-time-series-data" TargetMode="External"/><Relationship Id="rId15" Type="http://schemas.openxmlformats.org/officeDocument/2006/relationships/hyperlink" Target="https://www.nrscotland.gov.uk/statistics-and-data/statistics/statistics-by-theme/migration/migration-statistics/local-area-migration" TargetMode="External"/><Relationship Id="rId23" Type="http://schemas.openxmlformats.org/officeDocument/2006/relationships/hyperlink" Target="https://www.nrscotland.gov.uk/statistics-and-data/statistics/statistics-by-theme/population/population-estimates/mid-year-population-estimates/population-estimates-time-series-data" TargetMode="External"/><Relationship Id="rId10" Type="http://schemas.openxmlformats.org/officeDocument/2006/relationships/hyperlink" Target="https://www.nrscotland.gov.uk/statistics-and-data/statistics/statistics-by-theme/population/population-projections/sub-national-population-projections/2018-based/detailed-datasets" TargetMode="External"/><Relationship Id="rId19" Type="http://schemas.openxmlformats.org/officeDocument/2006/relationships/hyperlink" Target="https://www.nrscotland.gov.uk/statistics-and-data/statistics/statistics-by-theme/population/population-projections/sub-national-population-projections/2018-based/detailed-datasets" TargetMode="External"/><Relationship Id="rId4" Type="http://schemas.openxmlformats.org/officeDocument/2006/relationships/hyperlink" Target="https://www.nrscotland.gov.uk/statistics-and-data/statistics/statistics-by-theme/population/population-estimates/mid-year-population-estimates/population-estimates-time-series-data" TargetMode="External"/><Relationship Id="rId9" Type="http://schemas.openxmlformats.org/officeDocument/2006/relationships/hyperlink" Target="https://www.nrscotland.gov.uk/statistics-and-data/statistics/statistics-by-theme/population/population-projections/sub-national-population-projections/2018-based/detailed-datasets" TargetMode="External"/><Relationship Id="rId14" Type="http://schemas.openxmlformats.org/officeDocument/2006/relationships/hyperlink" Target="https://www.nrscotland.gov.uk/statistics-and-data/statistics/statistics-by-theme/migration/migration-statistics/local-area-migration" TargetMode="External"/><Relationship Id="rId22" Type="http://schemas.openxmlformats.org/officeDocument/2006/relationships/hyperlink" Target="https://www.nrscotland.gov.uk/statistics-and-data/statistics/statistics-by-theme/population/population-projections/sub-national-population-projections/2018-based/detailed-datasets"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nrscotland.gov.uk/statistics-and-data/statistics/statistics-by-theme/households/household-projections/2018-based-household-projections/list-of-data-tables" TargetMode="External"/><Relationship Id="rId13" Type="http://schemas.openxmlformats.org/officeDocument/2006/relationships/hyperlink" Target="https://www.nrscotland.gov.uk/statistics-and-data/statistics/statistics-by-theme/households/household-projections/2018-based-household-projections/list-of-data-tables" TargetMode="External"/><Relationship Id="rId3" Type="http://schemas.openxmlformats.org/officeDocument/2006/relationships/hyperlink" Target="https://www.nrscotland.gov.uk/statistics-and-data/statistics/statistics-by-theme/households/household-projections/2018-based-household-projections/list-of-data-tables" TargetMode="External"/><Relationship Id="rId7" Type="http://schemas.openxmlformats.org/officeDocument/2006/relationships/hyperlink" Target="https://www.nrscotland.gov.uk/statistics-and-data/statistics/statistics-by-theme/households/household-projections/2018-based-household-projections/list-of-data-tables" TargetMode="External"/><Relationship Id="rId12" Type="http://schemas.openxmlformats.org/officeDocument/2006/relationships/hyperlink" Target="https://www.nrscotland.gov.uk/statistics-and-data/statistics/statistics-by-theme/households/household-projections/2018-based-household-projections/list-of-data-tables" TargetMode="External"/><Relationship Id="rId2" Type="http://schemas.openxmlformats.org/officeDocument/2006/relationships/hyperlink" Target="https://www.nrscotland.gov.uk/statistics-and-data/statistics/statistics-by-theme/households/household-projections/2018-based-household-projections/list-of-data-tables" TargetMode="External"/><Relationship Id="rId16" Type="http://schemas.openxmlformats.org/officeDocument/2006/relationships/drawing" Target="../drawings/drawing2.xml"/><Relationship Id="rId1" Type="http://schemas.openxmlformats.org/officeDocument/2006/relationships/hyperlink" Target="https://www.nrscotland.gov.uk/statistics-and-data/statistics/statistics-by-theme/households/household-projections/2018-based-household-projections" TargetMode="External"/><Relationship Id="rId6" Type="http://schemas.openxmlformats.org/officeDocument/2006/relationships/hyperlink" Target="https://www.nrscotland.gov.uk/statistics-and-data/statistics/statistics-by-theme/households/household-projections/2018-based-household-projections/list-of-data-tables" TargetMode="External"/><Relationship Id="rId11" Type="http://schemas.openxmlformats.org/officeDocument/2006/relationships/hyperlink" Target="https://www.nrscotland.gov.uk/statistics-and-data/statistics/statistics-by-theme/households/household-projections/2018-based-household-projections/list-of-data-tables" TargetMode="External"/><Relationship Id="rId5" Type="http://schemas.openxmlformats.org/officeDocument/2006/relationships/hyperlink" Target="https://www.nrscotland.gov.uk/statistics-and-data/statistics/statistics-by-theme/households/household-projections/2018-based-household-projections/list-of-data-tables" TargetMode="External"/><Relationship Id="rId15" Type="http://schemas.openxmlformats.org/officeDocument/2006/relationships/printerSettings" Target="../printerSettings/printerSettings4.bin"/><Relationship Id="rId10" Type="http://schemas.openxmlformats.org/officeDocument/2006/relationships/hyperlink" Target="https://www.nrscotland.gov.uk/statistics-and-data/statistics/statistics-by-theme/households/household-projections/2018-based-household-projections/list-of-data-tables" TargetMode="External"/><Relationship Id="rId4" Type="http://schemas.openxmlformats.org/officeDocument/2006/relationships/hyperlink" Target="https://www.nrscotland.gov.uk/statistics-and-data/statistics/statistics-by-theme/households/household-projections/2018-based-household-projections/list-of-data-tables" TargetMode="External"/><Relationship Id="rId9" Type="http://schemas.openxmlformats.org/officeDocument/2006/relationships/hyperlink" Target="https://www.nrscotland.gov.uk/statistics-and-data/statistics/statistics-by-theme/households/household-projections/2018-based-household-projections/list-of-data-tables" TargetMode="External"/><Relationship Id="rId14" Type="http://schemas.openxmlformats.org/officeDocument/2006/relationships/hyperlink" Target="https://www.nrscotland.gov.uk/statistics-and-data/statistics/statistics-by-theme/households/household-projections/2018-based-household-projections/list-of-data-tables"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8" Type="http://schemas.openxmlformats.org/officeDocument/2006/relationships/hyperlink" Target="https://www.housingregulator.gov.scot/landlord-performance/statistical-information" TargetMode="External"/><Relationship Id="rId13" Type="http://schemas.openxmlformats.org/officeDocument/2006/relationships/hyperlink" Target="https://www.gov.scot/publications/local-housing-allowance-rates-2021-2022/" TargetMode="External"/><Relationship Id="rId3" Type="http://schemas.openxmlformats.org/officeDocument/2006/relationships/hyperlink" Target="https://statistics.gov.scot/slice?dataset=http%3A%2F%2Fstatistics.gov.scot%2Fdata%2Fresidential-properties-sales-and-price&amp;http%3A%2F%2Fpurl.org%2Flinked-data%2Fcube%23measureType=http%3A%2F%2Fstatistics.gov.scot%2Fdef%2Fmeasure-properties%2Fcount&amp;http%3A%2F%2Fstatistics.gov.scot%2Fdef%2Fdimension%2Fsales=http%3A%2F%2Fstatistics.gov.scot%2Fdef%2Fconcept%2Fsales%2Fnumber-of-sales" TargetMode="External"/><Relationship Id="rId7" Type="http://schemas.openxmlformats.org/officeDocument/2006/relationships/hyperlink" Target="https://www.gov.scot/publications/private-sector-rent-statistics-scotland-2010-2021/documents/" TargetMode="External"/><Relationship Id="rId12" Type="http://schemas.openxmlformats.org/officeDocument/2006/relationships/hyperlink" Target="https://www.housingregulator.gov.scot/landlord-performance/statistical-information" TargetMode="External"/><Relationship Id="rId2" Type="http://schemas.openxmlformats.org/officeDocument/2006/relationships/hyperlink" Target="https://statistics.gov.scot/slice?dataset=http%3A%2F%2Fstatistics.gov.scot%2Fdata%2Fresidential-properties-sales-and-price&amp;http%3A%2F%2Fpurl.org%2Flinked-data%2Fcube%23measureType=http%3A%2F%2Fstatistics.gov.scot%2Fdef%2Fmeasure-properties%2Fcount&amp;http%3A%2F%2Fstatistics.gov.scot%2Fdef%2Fdimension%2Fsales=http%3A%2F%2Fstatistics.gov.scot%2Fdef%2Fconcept%2Fsales%2Fnumber-of-sales" TargetMode="External"/><Relationship Id="rId1" Type="http://schemas.openxmlformats.org/officeDocument/2006/relationships/hyperlink" Target="https://statistics.gov.scot/slice?dataset=http%3A%2F%2Fstatistics.gov.scot%2Fdata%2Fresidential-properties-sales-and-price&amp;http%3A%2F%2Fpurl.org%2Flinked-data%2Fcube%23measureType=http%3A%2F%2Fstatistics.gov.scot%2Fdef%2Fmeasure-properties%2Fcount&amp;http%3A%2F%2Fstatistics.gov.scot%2Fdef%2Fdimension%2Fsales=http%3A%2F%2Fstatistics.gov.scot%2Fdef%2Fconcept%2Fsales%2Fnumber-of-sales" TargetMode="External"/><Relationship Id="rId6" Type="http://schemas.openxmlformats.org/officeDocument/2006/relationships/hyperlink" Target="https://www.gov.scot/publications/private-sector-rent-statistics-scotland-2010-2021/documents/" TargetMode="External"/><Relationship Id="rId11" Type="http://schemas.openxmlformats.org/officeDocument/2006/relationships/hyperlink" Target="https://statistics.gov.scot/slice?dataset=http%3A%2F%2Fstatistics.gov.scot%2Fdata%2Fresidential-properties-sales-and-price&amp;http%3A%2F%2Fpurl.org%2Flinked-data%2Fcube%23measureType=http%3A%2F%2Fstatistics.gov.scot%2Fdef%2Fmeasure-properties%2Fcount&amp;http%3A%2F%2Fstatistics.gov.scot%2Fdef%2Fdimension%2Fsales=http%3A%2F%2Fstatistics.gov.scot%2Fdef%2Fconcept%2Fsales%2Fnumber-of-sales" TargetMode="External"/><Relationship Id="rId5" Type="http://schemas.openxmlformats.org/officeDocument/2006/relationships/hyperlink" Target="https://www.gov.scot/publications/private-sector-rent-statistics-scotland-2010-2021/documents/" TargetMode="External"/><Relationship Id="rId15" Type="http://schemas.openxmlformats.org/officeDocument/2006/relationships/drawing" Target="../drawings/drawing4.xml"/><Relationship Id="rId10" Type="http://schemas.openxmlformats.org/officeDocument/2006/relationships/hyperlink" Target="https://statistics.gov.scot/slice?dataset=http%3A%2F%2Fstatistics.gov.scot%2Fdata%2Fresidential-properties-sales-and-price&amp;http%3A%2F%2Fpurl.org%2Flinked-data%2Fcube%23measureType=http%3A%2F%2Fstatistics.gov.scot%2Fdef%2Fmeasure-properties%2Fcount&amp;http%3A%2F%2Fstatistics.gov.scot%2Fdef%2Fdimension%2Fsales=http%3A%2F%2Fstatistics.gov.scot%2Fdef%2Fconcept%2Fsales%2Fnumber-of-sales" TargetMode="External"/><Relationship Id="rId4" Type="http://schemas.openxmlformats.org/officeDocument/2006/relationships/hyperlink" Target="https://statistics.gov.scot/slice?dataset=http%3A%2F%2Fstatistics.gov.scot%2Fdata%2Fresidential-properties-sales-and-price&amp;http%3A%2F%2Fpurl.org%2Flinked-data%2Fcube%23measureType=http%3A%2F%2Fstatistics.gov.scot%2Fdef%2Fmeasure-properties%2Fcount&amp;http%3A%2F%2Fstatistics.gov.scot%2Fdef%2Fdimension%2Fsales=http%3A%2F%2Fstatistics.gov.scot%2Fdef%2Fconcept%2Fsales%2Fnumber-of-sales" TargetMode="External"/><Relationship Id="rId9" Type="http://schemas.openxmlformats.org/officeDocument/2006/relationships/hyperlink" Target="../../../../../../:x:/s/ArneilJohnston/ERV1j2cKo41JpY6LpswikyABIW1nHqmL0eK3zuIwqWKJSA?e=Ugdbck" TargetMode="External"/><Relationship Id="rId14"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8" Type="http://schemas.openxmlformats.org/officeDocument/2006/relationships/hyperlink" Target="https://www.ons.gov.uk/employmentandlabourmarket/peopleinwork/earningsandworkinghours/datasets/placeofresidencebylocalauthorityashetable8" TargetMode="External"/><Relationship Id="rId13" Type="http://schemas.openxmlformats.org/officeDocument/2006/relationships/hyperlink" Target="https://www.ons.gov.uk/employmentandlabourmarket/peopleinwork/employmentandemployeetypes/datasets/localauthoritydistrictbusinessregisterandemploymentsurveybrestable6" TargetMode="External"/><Relationship Id="rId3" Type="http://schemas.openxmlformats.org/officeDocument/2006/relationships/hyperlink" Target="https://www.gov.scot/publications/scotlands-labour-market-people-places-regions-protected-characteristics-statistics-annual-population-survey-2021/documents/" TargetMode="External"/><Relationship Id="rId7" Type="http://schemas.openxmlformats.org/officeDocument/2006/relationships/hyperlink" Target="https://www.ons.gov.uk/businessindustryandtrade/business/activitysizeandlocation/datasets/businessdemographyreferencetable/current" TargetMode="External"/><Relationship Id="rId12" Type="http://schemas.openxmlformats.org/officeDocument/2006/relationships/hyperlink" Target="https://www.gov.scot/publications/scotlands-labour-market-people-places-regions-protected-characteristics-statistics-annual-population-survey-2021/documents/" TargetMode="External"/><Relationship Id="rId17" Type="http://schemas.openxmlformats.org/officeDocument/2006/relationships/drawing" Target="../drawings/drawing5.xml"/><Relationship Id="rId2" Type="http://schemas.openxmlformats.org/officeDocument/2006/relationships/hyperlink" Target="https://www.gov.scot/publications/scottish-annual-business-statistics-2018/" TargetMode="External"/><Relationship Id="rId16" Type="http://schemas.openxmlformats.org/officeDocument/2006/relationships/printerSettings" Target="../printerSettings/printerSettings6.bin"/><Relationship Id="rId1" Type="http://schemas.openxmlformats.org/officeDocument/2006/relationships/hyperlink" Target="https://www.gov.scot/publications/scottish-annual-business-statistics-2018/" TargetMode="External"/><Relationship Id="rId6" Type="http://schemas.openxmlformats.org/officeDocument/2006/relationships/hyperlink" Target="https://www.ons.gov.uk/businessindustryandtrade/business/activitysizeandlocation/datasets/ukbusinessactivitysizeandlocation" TargetMode="External"/><Relationship Id="rId11" Type="http://schemas.openxmlformats.org/officeDocument/2006/relationships/hyperlink" Target="https://www.gov.scot/publications/scotlands-labour-market-people-places-regions-protected-characteristics-statistics-annual-population-survey-2021/documents/" TargetMode="External"/><Relationship Id="rId5" Type="http://schemas.openxmlformats.org/officeDocument/2006/relationships/hyperlink" Target="https://www.gov.scot/publications/scotlands-labour-market-people-places-regions-protected-characteristics-statistics-annual-population-survey-2021/documents/" TargetMode="External"/><Relationship Id="rId15" Type="http://schemas.openxmlformats.org/officeDocument/2006/relationships/hyperlink" Target="https://www.ons.gov.uk/employmentandlabourmarket/peoplenotinwork/unemployment/datasets/claimantcountbyunitaryandlocalauthorityexperimental" TargetMode="External"/><Relationship Id="rId10" Type="http://schemas.openxmlformats.org/officeDocument/2006/relationships/hyperlink" Target="https://www.gov.scot/publications/scotlands-labour-market-people-places-regions-protected-characteristics-statistics-annual-population-survey-2021/documents/" TargetMode="External"/><Relationship Id="rId4" Type="http://schemas.openxmlformats.org/officeDocument/2006/relationships/hyperlink" Target="https://www.gov.scot/publications/scotlands-labour-market-people-places-regions-protected-characteristics-statistics-annual-population-survey-2021/documents/" TargetMode="External"/><Relationship Id="rId9" Type="http://schemas.openxmlformats.org/officeDocument/2006/relationships/hyperlink" Target="https://simd.scot/" TargetMode="External"/><Relationship Id="rId14" Type="http://schemas.openxmlformats.org/officeDocument/2006/relationships/hyperlink" Target="https://www.ons.gov.uk/businessindustryandtrade/business/activitysizeandlocation/datasets/ukbusinessactivitysizeandloca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28903-33AE-4985-95E9-7719EDEE7B34}">
  <sheetPr>
    <tabColor theme="1"/>
  </sheetPr>
  <dimension ref="A1:E113"/>
  <sheetViews>
    <sheetView showGridLines="0" zoomScaleNormal="100" workbookViewId="0">
      <selection activeCell="B27" sqref="B27"/>
    </sheetView>
  </sheetViews>
  <sheetFormatPr defaultRowHeight="15" x14ac:dyDescent="0.2"/>
  <cols>
    <col min="1" max="1" width="7.5703125" style="6" customWidth="1"/>
    <col min="2" max="2" width="108.42578125" style="1" customWidth="1"/>
    <col min="3" max="3" width="43.42578125" style="5" customWidth="1"/>
    <col min="4" max="4" width="21.140625" style="2" customWidth="1"/>
    <col min="5" max="5" width="74.42578125" style="110" customWidth="1"/>
    <col min="6" max="16384" width="9.140625" style="1"/>
  </cols>
  <sheetData>
    <row r="1" spans="1:5" x14ac:dyDescent="0.2">
      <c r="A1" s="2"/>
      <c r="B1" s="2"/>
      <c r="C1" s="2"/>
    </row>
    <row r="2" spans="1:5" ht="18" x14ac:dyDescent="0.25">
      <c r="A2" s="2"/>
      <c r="B2" s="109" t="s">
        <v>795</v>
      </c>
      <c r="C2" s="2"/>
      <c r="D2" s="1"/>
      <c r="E2" s="111"/>
    </row>
    <row r="3" spans="1:5" ht="18" x14ac:dyDescent="0.25">
      <c r="A3" s="2"/>
      <c r="B3" s="109" t="s">
        <v>0</v>
      </c>
      <c r="C3" s="2"/>
    </row>
    <row r="4" spans="1:5" ht="15.75" thickBot="1" x14ac:dyDescent="0.25">
      <c r="C4" s="1"/>
      <c r="D4" s="1"/>
    </row>
    <row r="5" spans="1:5" s="7" customFormat="1" ht="18.75" thickBot="1" x14ac:dyDescent="0.3">
      <c r="A5" s="457"/>
      <c r="B5" s="457" t="s">
        <v>1</v>
      </c>
      <c r="C5" s="458" t="s">
        <v>2</v>
      </c>
      <c r="D5" s="457" t="s">
        <v>3</v>
      </c>
      <c r="E5" s="459" t="s">
        <v>4</v>
      </c>
    </row>
    <row r="6" spans="1:5" s="3" customFormat="1" ht="18.75" thickBot="1" x14ac:dyDescent="0.3">
      <c r="A6" s="588" t="s">
        <v>6</v>
      </c>
      <c r="B6" s="589"/>
      <c r="C6" s="589"/>
      <c r="D6" s="589"/>
      <c r="E6" s="589"/>
    </row>
    <row r="7" spans="1:5" s="2" customFormat="1" ht="15.75" thickBot="1" x14ac:dyDescent="0.25">
      <c r="A7" s="552" t="s">
        <v>797</v>
      </c>
      <c r="B7" s="552" t="s">
        <v>801</v>
      </c>
      <c r="C7" s="585" t="s">
        <v>5</v>
      </c>
      <c r="D7" s="551"/>
      <c r="E7" s="547" t="str">
        <f>'1.1 Population Projections'!B4</f>
        <v>Table 1.1 Population Change 2001-2021</v>
      </c>
    </row>
    <row r="8" spans="1:5" s="2" customFormat="1" ht="16.5" customHeight="1" thickBot="1" x14ac:dyDescent="0.25">
      <c r="A8" s="552" t="s">
        <v>798</v>
      </c>
      <c r="B8" s="552" t="s">
        <v>801</v>
      </c>
      <c r="C8" s="584"/>
      <c r="D8" s="551"/>
      <c r="E8" s="547" t="str">
        <f>'1.1 Population Projections'!$B$30</f>
        <v>Table 1.1.2 Population Change 2001-2021</v>
      </c>
    </row>
    <row r="9" spans="1:5" s="2" customFormat="1" ht="16.5" customHeight="1" thickBot="1" x14ac:dyDescent="0.25">
      <c r="A9" s="552" t="s">
        <v>799</v>
      </c>
      <c r="B9" s="552" t="s">
        <v>802</v>
      </c>
      <c r="C9" s="584"/>
      <c r="D9" s="551"/>
      <c r="E9" s="547" t="str">
        <f>'1.1 Population Projections'!$B$39</f>
        <v>Table 1.1.3 Components of Population Change</v>
      </c>
    </row>
    <row r="10" spans="1:5" s="2" customFormat="1" ht="16.5" customHeight="1" thickBot="1" x14ac:dyDescent="0.25">
      <c r="A10" s="552" t="s">
        <v>1003</v>
      </c>
      <c r="B10" s="552" t="s">
        <v>1005</v>
      </c>
      <c r="C10" s="584"/>
      <c r="D10" s="551"/>
      <c r="E10" s="547" t="s">
        <v>692</v>
      </c>
    </row>
    <row r="11" spans="1:5" s="2" customFormat="1" ht="16.5" customHeight="1" thickBot="1" x14ac:dyDescent="0.25">
      <c r="A11" s="552" t="s">
        <v>1004</v>
      </c>
      <c r="B11" s="552" t="s">
        <v>1006</v>
      </c>
      <c r="C11" s="584"/>
      <c r="D11" s="551"/>
      <c r="E11" s="547" t="s">
        <v>693</v>
      </c>
    </row>
    <row r="12" spans="1:5" s="2" customFormat="1" ht="16.5" customHeight="1" thickBot="1" x14ac:dyDescent="0.25">
      <c r="A12" s="552" t="s">
        <v>800</v>
      </c>
      <c r="B12" s="552" t="s">
        <v>803</v>
      </c>
      <c r="C12" s="584"/>
      <c r="D12" s="551"/>
      <c r="E12" s="547" t="str">
        <f>'1.1 Population Projections'!$B$101</f>
        <v>Table 1.1.4a Population by Age Cohort 2001</v>
      </c>
    </row>
    <row r="13" spans="1:5" s="2" customFormat="1" ht="16.5" customHeight="1" thickBot="1" x14ac:dyDescent="0.25">
      <c r="A13" s="552" t="s">
        <v>1007</v>
      </c>
      <c r="B13" s="552" t="s">
        <v>804</v>
      </c>
      <c r="C13" s="584"/>
      <c r="D13" s="551"/>
      <c r="E13" s="547" t="str">
        <f>'1.1 Population Projections'!$B$129</f>
        <v>Table 1.1.5a Population by Age Group &amp; Gender 2022</v>
      </c>
    </row>
    <row r="14" spans="1:5" s="2" customFormat="1" ht="16.5" customHeight="1" thickBot="1" x14ac:dyDescent="0.25">
      <c r="A14" s="552" t="s">
        <v>1008</v>
      </c>
      <c r="B14" s="552" t="s">
        <v>1015</v>
      </c>
      <c r="C14" s="584"/>
      <c r="D14" s="551"/>
      <c r="E14" s="547" t="s">
        <v>778</v>
      </c>
    </row>
    <row r="15" spans="1:5" s="2" customFormat="1" ht="16.5" customHeight="1" thickBot="1" x14ac:dyDescent="0.25">
      <c r="A15" s="552" t="s">
        <v>1009</v>
      </c>
      <c r="B15" s="552" t="s">
        <v>1016</v>
      </c>
      <c r="C15" s="584"/>
      <c r="D15" s="551"/>
      <c r="E15" s="547" t="s">
        <v>779</v>
      </c>
    </row>
    <row r="16" spans="1:5" s="2" customFormat="1" ht="16.5" customHeight="1" thickBot="1" x14ac:dyDescent="0.25">
      <c r="A16" s="552" t="s">
        <v>1010</v>
      </c>
      <c r="B16" s="552" t="s">
        <v>1021</v>
      </c>
      <c r="C16" s="584"/>
      <c r="D16" s="551"/>
      <c r="E16" s="547" t="s">
        <v>777</v>
      </c>
    </row>
    <row r="17" spans="1:5" s="2" customFormat="1" ht="16.5" customHeight="1" thickBot="1" x14ac:dyDescent="0.25">
      <c r="A17" s="552" t="s">
        <v>1011</v>
      </c>
      <c r="B17" s="552" t="s">
        <v>1017</v>
      </c>
      <c r="C17" s="584"/>
      <c r="D17" s="551"/>
      <c r="E17" s="547" t="s">
        <v>780</v>
      </c>
    </row>
    <row r="18" spans="1:5" s="2" customFormat="1" ht="16.5" customHeight="1" thickBot="1" x14ac:dyDescent="0.25">
      <c r="A18" s="552" t="s">
        <v>1012</v>
      </c>
      <c r="B18" s="552" t="s">
        <v>1018</v>
      </c>
      <c r="C18" s="584"/>
      <c r="D18" s="551"/>
      <c r="E18" s="547" t="s">
        <v>781</v>
      </c>
    </row>
    <row r="19" spans="1:5" s="2" customFormat="1" ht="16.5" customHeight="1" thickBot="1" x14ac:dyDescent="0.25">
      <c r="A19" s="552" t="s">
        <v>1013</v>
      </c>
      <c r="B19" s="552" t="s">
        <v>1019</v>
      </c>
      <c r="C19" s="584"/>
      <c r="D19" s="551"/>
      <c r="E19" s="547" t="s">
        <v>782</v>
      </c>
    </row>
    <row r="20" spans="1:5" s="2" customFormat="1" ht="16.5" customHeight="1" thickBot="1" x14ac:dyDescent="0.25">
      <c r="A20" s="552" t="s">
        <v>1014</v>
      </c>
      <c r="B20" s="552" t="s">
        <v>1020</v>
      </c>
      <c r="C20" s="583"/>
      <c r="D20" s="551"/>
      <c r="E20" s="547" t="s">
        <v>783</v>
      </c>
    </row>
    <row r="21" spans="1:5" s="2" customFormat="1" ht="15.75" thickBot="1" x14ac:dyDescent="0.25">
      <c r="A21" s="552" t="s">
        <v>805</v>
      </c>
      <c r="B21" s="552" t="s">
        <v>641</v>
      </c>
      <c r="C21" s="582" t="s">
        <v>806</v>
      </c>
      <c r="D21" s="551"/>
      <c r="E21" s="547" t="str">
        <f>'1.1 Population Projections'!$B$172</f>
        <v>Table 1.1.6 Households by Gender 2022</v>
      </c>
    </row>
    <row r="22" spans="1:5" s="2" customFormat="1" ht="16.5" customHeight="1" thickBot="1" x14ac:dyDescent="0.25">
      <c r="A22" s="552" t="s">
        <v>807</v>
      </c>
      <c r="B22" s="552" t="s">
        <v>646</v>
      </c>
      <c r="C22" s="583"/>
      <c r="D22" s="551"/>
      <c r="E22" s="547" t="str">
        <f>'1.1 Population Projections'!$B$177</f>
        <v>Table 1.1.7 Weighting of Gender Comparison</v>
      </c>
    </row>
    <row r="23" spans="1:5" s="2" customFormat="1" ht="30.75" thickBot="1" x14ac:dyDescent="0.25">
      <c r="A23" s="552" t="s">
        <v>808</v>
      </c>
      <c r="B23" s="552" t="s">
        <v>814</v>
      </c>
      <c r="C23" s="582" t="s">
        <v>5</v>
      </c>
      <c r="D23" s="551"/>
      <c r="E23" s="547" t="str">
        <f>'1.1 Population Projections'!$B$182</f>
        <v>Table 1.1.8: Components of migration by administrative area, mid-2020 to mid-2021</v>
      </c>
    </row>
    <row r="24" spans="1:5" s="2" customFormat="1" ht="16.5" customHeight="1" thickBot="1" x14ac:dyDescent="0.25">
      <c r="A24" s="552" t="s">
        <v>809</v>
      </c>
      <c r="B24" s="552" t="s">
        <v>815</v>
      </c>
      <c r="C24" s="584"/>
      <c r="D24" s="551"/>
      <c r="E24" s="547" t="str">
        <f>'1.1 Population Projections'!$B$188</f>
        <v xml:space="preserve">Table 1.1.9 (Local) Within Scotland net Migration </v>
      </c>
    </row>
    <row r="25" spans="1:5" s="2" customFormat="1" ht="16.5" customHeight="1" thickBot="1" x14ac:dyDescent="0.25">
      <c r="A25" s="552" t="s">
        <v>1022</v>
      </c>
      <c r="B25" s="552" t="s">
        <v>1025</v>
      </c>
      <c r="C25" s="584"/>
      <c r="D25" s="551"/>
      <c r="E25" s="547" t="str">
        <f>'1.1 Population Projections'!$B$212</f>
        <v>Table 1.1.10a Total net migration for ages 0-15</v>
      </c>
    </row>
    <row r="26" spans="1:5" s="2" customFormat="1" ht="16.5" customHeight="1" thickBot="1" x14ac:dyDescent="0.25">
      <c r="A26" s="552" t="s">
        <v>1023</v>
      </c>
      <c r="B26" s="552" t="s">
        <v>1026</v>
      </c>
      <c r="C26" s="584"/>
      <c r="D26" s="551"/>
      <c r="E26" s="547" t="s">
        <v>702</v>
      </c>
    </row>
    <row r="27" spans="1:5" s="2" customFormat="1" ht="16.5" customHeight="1" thickBot="1" x14ac:dyDescent="0.25">
      <c r="A27" s="552" t="s">
        <v>1024</v>
      </c>
      <c r="B27" s="552" t="s">
        <v>1027</v>
      </c>
      <c r="C27" s="584"/>
      <c r="D27" s="551"/>
      <c r="E27" s="547" t="s">
        <v>703</v>
      </c>
    </row>
    <row r="28" spans="1:5" s="2" customFormat="1" ht="16.5" customHeight="1" thickBot="1" x14ac:dyDescent="0.25">
      <c r="A28" s="552" t="s">
        <v>810</v>
      </c>
      <c r="B28" s="552" t="s">
        <v>816</v>
      </c>
      <c r="C28" s="584"/>
      <c r="D28" s="551"/>
      <c r="E28" s="547" t="str">
        <f>'1.1 Population Projections'!$B$234</f>
        <v>Table 1.1.11 Populations Projections by Age Band Moray 2018 - 2043</v>
      </c>
    </row>
    <row r="29" spans="1:5" s="2" customFormat="1" ht="16.5" customHeight="1" thickBot="1" x14ac:dyDescent="0.25">
      <c r="A29" s="552" t="s">
        <v>811</v>
      </c>
      <c r="B29" s="552" t="s">
        <v>588</v>
      </c>
      <c r="C29" s="584"/>
      <c r="D29" s="551"/>
      <c r="E29" s="547" t="str">
        <f>'1.1 Population Projections'!$B$252</f>
        <v xml:space="preserve">Table 1.1.12 Populations Projections Comparison Across All Ages by Year </v>
      </c>
    </row>
    <row r="30" spans="1:5" s="2" customFormat="1" ht="16.5" customHeight="1" thickBot="1" x14ac:dyDescent="0.25">
      <c r="A30" s="552" t="s">
        <v>812</v>
      </c>
      <c r="B30" s="552" t="s">
        <v>817</v>
      </c>
      <c r="C30" s="584"/>
      <c r="D30" s="551"/>
      <c r="E30" s="547" t="str">
        <f>'1.1 Population Projections'!$B$262</f>
        <v>Table 1.1.13: Population Projections by All Ages 2018 - 2043 Moray</v>
      </c>
    </row>
    <row r="31" spans="1:5" s="2" customFormat="1" ht="16.5" customHeight="1" thickBot="1" x14ac:dyDescent="0.25">
      <c r="A31" s="552" t="s">
        <v>813</v>
      </c>
      <c r="B31" s="552" t="s">
        <v>818</v>
      </c>
      <c r="C31" s="592"/>
      <c r="D31" s="551"/>
      <c r="E31" s="547" t="str">
        <f>'1.1 Population Projections'!$B$296</f>
        <v>Table 1.1.14: Change in Population Projections by All Ages 2018 - 2043 Moray</v>
      </c>
    </row>
    <row r="32" spans="1:5" s="2" customFormat="1" ht="15.75" thickBot="1" x14ac:dyDescent="0.25">
      <c r="A32" s="590" t="s">
        <v>7</v>
      </c>
      <c r="B32" s="591"/>
      <c r="C32" s="591"/>
      <c r="D32" s="591"/>
      <c r="E32" s="591"/>
    </row>
    <row r="33" spans="1:5" s="2" customFormat="1" ht="15.75" thickBot="1" x14ac:dyDescent="0.25">
      <c r="A33" s="552">
        <v>1.2</v>
      </c>
      <c r="B33" s="552" t="s">
        <v>820</v>
      </c>
      <c r="C33" s="371" t="s">
        <v>5</v>
      </c>
      <c r="D33" s="551"/>
      <c r="E33" s="547" t="str">
        <f>'1.2-1.4 Household Projections'!$B$8</f>
        <v>Table 1.2 Change in number of households 2011 – 2021</v>
      </c>
    </row>
    <row r="34" spans="1:5" s="2" customFormat="1" ht="29.25" thickBot="1" x14ac:dyDescent="0.25">
      <c r="A34" s="552" t="s">
        <v>819</v>
      </c>
      <c r="B34" s="552" t="s">
        <v>821</v>
      </c>
      <c r="C34" s="371" t="s">
        <v>822</v>
      </c>
      <c r="D34" s="551"/>
      <c r="E34" s="547" t="str">
        <f>'1.2-1.4 Household Projections'!$B$14</f>
        <v>Table 1.2.1 Household Composition  Profile 2011-2020</v>
      </c>
    </row>
    <row r="35" spans="1:5" s="2" customFormat="1" ht="15.75" thickBot="1" x14ac:dyDescent="0.25">
      <c r="A35" s="552" t="s">
        <v>825</v>
      </c>
      <c r="B35" s="552" t="s">
        <v>824</v>
      </c>
      <c r="C35" s="582" t="s">
        <v>5</v>
      </c>
      <c r="D35" s="551"/>
      <c r="E35" s="547" t="str">
        <f>'1.2-1.4 Household Projections'!$B$36</f>
        <v>Table 1.2.2 Average household size for Moray 2011-2021</v>
      </c>
    </row>
    <row r="36" spans="1:5" s="2" customFormat="1" ht="16.5" customHeight="1" thickBot="1" x14ac:dyDescent="0.25">
      <c r="A36" s="552" t="s">
        <v>826</v>
      </c>
      <c r="B36" s="552" t="s">
        <v>827</v>
      </c>
      <c r="C36" s="583"/>
      <c r="D36" s="551"/>
      <c r="E36" s="547" t="str">
        <f>'1.2-1.4 Household Projections'!$B$61</f>
        <v>Table 1.2.3 Change in households 2001-2021</v>
      </c>
    </row>
    <row r="37" spans="1:5" s="2" customFormat="1" ht="15.75" thickBot="1" x14ac:dyDescent="0.25">
      <c r="A37" s="552" t="s">
        <v>828</v>
      </c>
      <c r="B37" s="552" t="s">
        <v>829</v>
      </c>
      <c r="C37" s="371" t="s">
        <v>806</v>
      </c>
      <c r="D37" s="551"/>
      <c r="E37" s="547" t="str">
        <f>'1.2-1.4 Household Projections'!$B$68</f>
        <v>Table 1.2.4 Household Composition 2022</v>
      </c>
    </row>
    <row r="38" spans="1:5" s="2" customFormat="1" ht="15.75" thickBot="1" x14ac:dyDescent="0.25">
      <c r="A38" s="552">
        <v>1.3</v>
      </c>
      <c r="B38" s="552" t="s">
        <v>830</v>
      </c>
      <c r="C38" s="582" t="s">
        <v>5</v>
      </c>
      <c r="D38" s="551"/>
      <c r="E38" s="547" t="str">
        <f>'1.2-1.4 Household Projections'!$B$80</f>
        <v>Table 1.3 Household Projections (2018-based)</v>
      </c>
    </row>
    <row r="39" spans="1:5" s="2" customFormat="1" ht="16.5" customHeight="1" thickBot="1" x14ac:dyDescent="0.25">
      <c r="A39" s="552" t="s">
        <v>831</v>
      </c>
      <c r="B39" s="552" t="s">
        <v>835</v>
      </c>
      <c r="C39" s="584"/>
      <c r="D39" s="551"/>
      <c r="E39" s="547" t="str">
        <f>'1.2-1.4 Household Projections'!$B$90</f>
        <v>Table 1.3.1 Household by Age of Head of Household, Principal Projection (Moray)</v>
      </c>
    </row>
    <row r="40" spans="1:5" s="2" customFormat="1" ht="30.75" thickBot="1" x14ac:dyDescent="0.25">
      <c r="A40" s="552" t="s">
        <v>833</v>
      </c>
      <c r="B40" s="552" t="s">
        <v>834</v>
      </c>
      <c r="C40" s="584"/>
      <c r="D40" s="551"/>
      <c r="E40" s="547" t="str">
        <f>'1.2-1.4 Household Projections'!$B$100</f>
        <v>Table 1.3.2 Household by Age of Head of Household, Principal Projection (Scotland)</v>
      </c>
    </row>
    <row r="41" spans="1:5" s="2" customFormat="1" ht="30.75" thickBot="1" x14ac:dyDescent="0.25">
      <c r="A41" s="552" t="s">
        <v>836</v>
      </c>
      <c r="B41" s="552" t="s">
        <v>840</v>
      </c>
      <c r="C41" s="584"/>
      <c r="D41" s="551"/>
      <c r="E41" s="547" t="str">
        <f>'1.2-1.4 Household Projections'!$B$114</f>
        <v>Table 1.3.3 % Change in Household by Age of Head of Household, Principal Projection</v>
      </c>
    </row>
    <row r="42" spans="1:5" s="2" customFormat="1" ht="30.75" thickBot="1" x14ac:dyDescent="0.25">
      <c r="A42" s="552" t="s">
        <v>841</v>
      </c>
      <c r="B42" s="552" t="s">
        <v>837</v>
      </c>
      <c r="C42" s="584"/>
      <c r="D42" s="551"/>
      <c r="E42" s="547" t="str">
        <f>'1.2-1.4 Household Projections'!$B$129</f>
        <v>Table 1.3.4 Household Type by Composition, Principal Projection, 2018-2038 (Moray)</v>
      </c>
    </row>
    <row r="43" spans="1:5" s="2" customFormat="1" ht="30.75" thickBot="1" x14ac:dyDescent="0.25">
      <c r="A43" s="552" t="s">
        <v>842</v>
      </c>
      <c r="B43" s="552" t="s">
        <v>838</v>
      </c>
      <c r="C43" s="584"/>
      <c r="D43" s="551"/>
      <c r="E43" s="547" t="str">
        <f>'1.2-1.4 Household Projections'!$B$138</f>
        <v>Table 1.3.5 Household Type by Composition, Principal Projection, 2018-2038 (Scotland)</v>
      </c>
    </row>
    <row r="44" spans="1:5" s="2" customFormat="1" ht="30.75" thickBot="1" x14ac:dyDescent="0.25">
      <c r="A44" s="552" t="s">
        <v>843</v>
      </c>
      <c r="B44" s="552" t="s">
        <v>839</v>
      </c>
      <c r="C44" s="584"/>
      <c r="D44" s="551"/>
      <c r="E44" s="547" t="str">
        <f>'1.2-1.4 Household Projections'!$B$151</f>
        <v>Table 1.3.6 % Change Household Type by Composition, Principal Projection, 2018-2038</v>
      </c>
    </row>
    <row r="45" spans="1:5" s="2" customFormat="1" ht="16.5" customHeight="1" thickBot="1" x14ac:dyDescent="0.25">
      <c r="A45" s="552" t="s">
        <v>844</v>
      </c>
      <c r="B45" s="552" t="s">
        <v>845</v>
      </c>
      <c r="C45" s="584"/>
      <c r="D45" s="551"/>
      <c r="E45" s="547" t="str">
        <f>'1.2-1.4 Household Projections'!$B$165</f>
        <v>Table 1.3.7 Household Type by Composition, Low Migration, 2018-2038 (Moray)</v>
      </c>
    </row>
    <row r="46" spans="1:5" s="2" customFormat="1" ht="16.5" customHeight="1" thickBot="1" x14ac:dyDescent="0.25">
      <c r="A46" s="552" t="s">
        <v>847</v>
      </c>
      <c r="B46" s="552" t="s">
        <v>846</v>
      </c>
      <c r="C46" s="584"/>
      <c r="D46" s="551"/>
      <c r="E46" s="547" t="str">
        <f>'1.2-1.4 Household Projections'!$B$174</f>
        <v>Table 1.3.8 Household Type by Composition, Low Migration, 2018-2038 (Scotland)</v>
      </c>
    </row>
    <row r="47" spans="1:5" s="2" customFormat="1" ht="30.75" thickBot="1" x14ac:dyDescent="0.25">
      <c r="A47" s="552" t="s">
        <v>848</v>
      </c>
      <c r="B47" s="552" t="s">
        <v>852</v>
      </c>
      <c r="C47" s="584"/>
      <c r="D47" s="551"/>
      <c r="E47" s="547" t="str">
        <f>'1.2-1.4 Household Projections'!$B$187</f>
        <v>Table 1.3.9 % Change in Household Type by Composition, Low Migration, 2018-2038</v>
      </c>
    </row>
    <row r="48" spans="1:5" s="2" customFormat="1" ht="16.5" customHeight="1" thickBot="1" x14ac:dyDescent="0.25">
      <c r="A48" s="552" t="s">
        <v>849</v>
      </c>
      <c r="B48" s="552" t="s">
        <v>853</v>
      </c>
      <c r="C48" s="584"/>
      <c r="D48" s="551"/>
      <c r="E48" s="547" t="str">
        <f>'1.2-1.4 Household Projections'!$B$202</f>
        <v>Table 1.3.10 Household Type by Composition, High Migration, 2018-2038 (Moray)</v>
      </c>
    </row>
    <row r="49" spans="1:5" s="2" customFormat="1" ht="30.75" thickBot="1" x14ac:dyDescent="0.25">
      <c r="A49" s="552" t="s">
        <v>850</v>
      </c>
      <c r="B49" s="552" t="s">
        <v>854</v>
      </c>
      <c r="C49" s="584"/>
      <c r="D49" s="551"/>
      <c r="E49" s="547" t="str">
        <f>'1.2-1.4 Household Projections'!$B$211</f>
        <v>Table 1.3.11 Household Type by Composition, High Migration, 2018-2038 (Scotland)</v>
      </c>
    </row>
    <row r="50" spans="1:5" s="2" customFormat="1" ht="30.75" thickBot="1" x14ac:dyDescent="0.25">
      <c r="A50" s="552" t="s">
        <v>851</v>
      </c>
      <c r="B50" s="552" t="s">
        <v>855</v>
      </c>
      <c r="C50" s="584"/>
      <c r="D50" s="551"/>
      <c r="E50" s="547" t="str">
        <f>'1.2-1.4 Household Projections'!$B$224</f>
        <v>Table 1.3.12 % Change in Household Type by Composition, High Migration, 2018-2038</v>
      </c>
    </row>
    <row r="51" spans="1:5" s="2" customFormat="1" ht="16.5" customHeight="1" thickBot="1" x14ac:dyDescent="0.25">
      <c r="A51" s="552" t="s">
        <v>856</v>
      </c>
      <c r="B51" s="552" t="s">
        <v>857</v>
      </c>
      <c r="C51" s="584"/>
      <c r="D51" s="551"/>
      <c r="E51" s="547" t="str">
        <f>'1.2-1.4 Household Projections'!$B$240</f>
        <v>Table 1.3.13 Moray Household Population Projections All Migration Levels</v>
      </c>
    </row>
    <row r="52" spans="1:5" s="2" customFormat="1" ht="16.5" customHeight="1" thickBot="1" x14ac:dyDescent="0.25">
      <c r="A52" s="552">
        <v>1.4</v>
      </c>
      <c r="B52" s="552" t="s">
        <v>832</v>
      </c>
      <c r="C52" s="583"/>
      <c r="D52" s="551"/>
      <c r="E52" s="547" t="str">
        <f>'1.2-1.4 Household Projections'!$B$265</f>
        <v>Table 1.4 Household by Age of Head of Household, Principal Projection</v>
      </c>
    </row>
    <row r="53" spans="1:5" s="2" customFormat="1" ht="15.75" thickBot="1" x14ac:dyDescent="0.25">
      <c r="A53" s="552" t="s">
        <v>859</v>
      </c>
      <c r="B53" s="552" t="s">
        <v>860</v>
      </c>
      <c r="C53" s="582" t="s">
        <v>806</v>
      </c>
      <c r="D53" s="551"/>
      <c r="E53" s="547" t="str">
        <f>'1.2-1.4 Household Projections'!$B$275</f>
        <v>Table 1.4.1a Household by Age of Head of Household, Survey Data</v>
      </c>
    </row>
    <row r="54" spans="1:5" s="2" customFormat="1" ht="29.25" customHeight="1" thickBot="1" x14ac:dyDescent="0.25">
      <c r="A54" s="552" t="s">
        <v>1028</v>
      </c>
      <c r="B54" s="552" t="s">
        <v>861</v>
      </c>
      <c r="C54" s="584"/>
      <c r="D54" s="551"/>
      <c r="E54" s="547" t="str">
        <f>'1.2-1.4 Household Projections'!$B$286</f>
        <v>Table 1.4.2a: Is there anyone currently living in this household who would like to live in separate accommodation, within the next few years, if that were possible?</v>
      </c>
    </row>
    <row r="55" spans="1:5" s="2" customFormat="1" ht="16.5" customHeight="1" thickBot="1" x14ac:dyDescent="0.25">
      <c r="A55" s="552" t="s">
        <v>1029</v>
      </c>
      <c r="B55" s="552" t="s">
        <v>861</v>
      </c>
      <c r="C55" s="584"/>
      <c r="D55" s="551"/>
      <c r="E55" s="547" t="s">
        <v>726</v>
      </c>
    </row>
    <row r="56" spans="1:5" s="2" customFormat="1" ht="30.75" thickBot="1" x14ac:dyDescent="0.25">
      <c r="A56" s="552" t="s">
        <v>1031</v>
      </c>
      <c r="B56" s="552" t="s">
        <v>862</v>
      </c>
      <c r="C56" s="584"/>
      <c r="D56" s="551"/>
      <c r="E56" s="547" t="str">
        <f>'1.2-1.4 Household Projections'!$B$297</f>
        <v>Table 1.4.3a: Current households who would like/need to move in next 2 years - Location HH want/need to move to</v>
      </c>
    </row>
    <row r="57" spans="1:5" s="2" customFormat="1" ht="16.5" customHeight="1" thickBot="1" x14ac:dyDescent="0.25">
      <c r="A57" s="552" t="s">
        <v>1030</v>
      </c>
      <c r="B57" s="552" t="s">
        <v>862</v>
      </c>
      <c r="C57" s="584"/>
      <c r="D57" s="551"/>
      <c r="E57" s="547" t="s">
        <v>728</v>
      </c>
    </row>
    <row r="58" spans="1:5" s="2" customFormat="1" ht="16.5" customHeight="1" thickBot="1" x14ac:dyDescent="0.25">
      <c r="A58" s="552" t="s">
        <v>1032</v>
      </c>
      <c r="B58" s="552" t="s">
        <v>1034</v>
      </c>
      <c r="C58" s="584"/>
      <c r="D58" s="551"/>
      <c r="E58" s="547" t="str">
        <f>'1.2-1.4 Household Projections'!$B$308</f>
        <v>Table 1.4.4a Year Moved In</v>
      </c>
    </row>
    <row r="59" spans="1:5" s="2" customFormat="1" ht="16.5" customHeight="1" x14ac:dyDescent="0.2">
      <c r="A59" s="552" t="s">
        <v>1033</v>
      </c>
      <c r="B59" s="552" t="s">
        <v>1035</v>
      </c>
      <c r="C59" s="583"/>
      <c r="D59" s="551"/>
      <c r="E59" s="547" t="s">
        <v>730</v>
      </c>
    </row>
    <row r="60" spans="1:5" s="2" customFormat="1" ht="15.75" thickBot="1" x14ac:dyDescent="0.25">
      <c r="A60" s="586" t="s">
        <v>796</v>
      </c>
      <c r="B60" s="587"/>
      <c r="C60" s="587"/>
      <c r="D60" s="587"/>
      <c r="E60" s="587"/>
    </row>
    <row r="61" spans="1:5" s="4" customFormat="1" ht="15.75" thickBot="1" x14ac:dyDescent="0.25">
      <c r="A61" s="552" t="s">
        <v>864</v>
      </c>
      <c r="B61" s="552" t="s">
        <v>865</v>
      </c>
      <c r="C61" s="582" t="s">
        <v>863</v>
      </c>
      <c r="D61" s="551"/>
      <c r="E61" s="547" t="str">
        <f>'1.5 - 1.9 Housing Affordability'!$B$5</f>
        <v>Table 1.5.1 House Sale Volumes</v>
      </c>
    </row>
    <row r="62" spans="1:5" s="4" customFormat="1" ht="15.75" thickBot="1" x14ac:dyDescent="0.25">
      <c r="A62" s="552" t="s">
        <v>1036</v>
      </c>
      <c r="B62" s="552" t="s">
        <v>1039</v>
      </c>
      <c r="C62" s="584"/>
      <c r="D62" s="551"/>
      <c r="E62" s="547" t="s">
        <v>731</v>
      </c>
    </row>
    <row r="63" spans="1:5" s="4" customFormat="1" ht="15.75" thickBot="1" x14ac:dyDescent="0.25">
      <c r="A63" s="552" t="s">
        <v>1037</v>
      </c>
      <c r="B63" s="552" t="s">
        <v>1040</v>
      </c>
      <c r="C63" s="584"/>
      <c r="D63" s="551"/>
      <c r="E63" s="547" t="s">
        <v>733</v>
      </c>
    </row>
    <row r="64" spans="1:5" s="4" customFormat="1" ht="15.75" thickBot="1" x14ac:dyDescent="0.25">
      <c r="A64" s="552" t="s">
        <v>1038</v>
      </c>
      <c r="B64" s="552" t="s">
        <v>1041</v>
      </c>
      <c r="C64" s="584"/>
      <c r="D64" s="551"/>
      <c r="E64" s="547" t="s">
        <v>734</v>
      </c>
    </row>
    <row r="65" spans="1:5" s="4" customFormat="1" ht="16.5" customHeight="1" thickBot="1" x14ac:dyDescent="0.25">
      <c r="A65" s="552" t="s">
        <v>867</v>
      </c>
      <c r="B65" s="552" t="s">
        <v>866</v>
      </c>
      <c r="C65" s="584"/>
      <c r="D65" s="551"/>
      <c r="E65" s="547" t="str">
        <f>'1.5 - 1.9 Housing Affordability'!$B$48</f>
        <v>Table 1.5.2 % Change in Average House Sale Values</v>
      </c>
    </row>
    <row r="66" spans="1:5" s="4" customFormat="1" ht="16.5" customHeight="1" thickBot="1" x14ac:dyDescent="0.25">
      <c r="A66" s="552" t="s">
        <v>869</v>
      </c>
      <c r="B66" s="552" t="s">
        <v>868</v>
      </c>
      <c r="C66" s="583"/>
      <c r="D66" s="551"/>
      <c r="E66" s="547" t="str">
        <f>'1.5 - 1.9 Housing Affordability'!$B$68</f>
        <v>Table 1.5.3 Median House Sale Values</v>
      </c>
    </row>
    <row r="67" spans="1:5" s="2" customFormat="1" ht="15.75" thickBot="1" x14ac:dyDescent="0.25">
      <c r="A67" s="552" t="s">
        <v>1042</v>
      </c>
      <c r="B67" s="552" t="s">
        <v>870</v>
      </c>
      <c r="C67" s="582" t="s">
        <v>871</v>
      </c>
      <c r="D67" s="551"/>
      <c r="E67" s="547" t="s">
        <v>976</v>
      </c>
    </row>
    <row r="68" spans="1:5" s="2" customFormat="1" ht="16.5" customHeight="1" thickBot="1" x14ac:dyDescent="0.25">
      <c r="A68" s="552" t="s">
        <v>1043</v>
      </c>
      <c r="B68" s="552" t="s">
        <v>1044</v>
      </c>
      <c r="C68" s="583"/>
      <c r="D68" s="551"/>
      <c r="E68" s="547" t="s">
        <v>977</v>
      </c>
    </row>
    <row r="69" spans="1:5" s="2" customFormat="1" ht="30.75" customHeight="1" thickBot="1" x14ac:dyDescent="0.25">
      <c r="A69" s="552" t="s">
        <v>873</v>
      </c>
      <c r="B69" s="552" t="s">
        <v>872</v>
      </c>
      <c r="C69" s="582" t="s">
        <v>874</v>
      </c>
      <c r="D69" s="551"/>
      <c r="E69" s="547" t="str">
        <f>'1.5 - 1.9 Housing Affordability'!$B$108</f>
        <v>Table 1.6.1 PRS Monthly Average Rents 2010-2020</v>
      </c>
    </row>
    <row r="70" spans="1:5" s="2" customFormat="1" ht="16.5" customHeight="1" thickBot="1" x14ac:dyDescent="0.25">
      <c r="A70" s="552" t="s">
        <v>1045</v>
      </c>
      <c r="B70" s="552" t="s">
        <v>1048</v>
      </c>
      <c r="C70" s="584"/>
      <c r="D70" s="551"/>
      <c r="E70" s="547" t="str">
        <f>'1.5 - 1.9 Housing Affordability'!$B$115</f>
        <v>Table 1.6.2a PRS Monthly Average Rents by Property Size 2011</v>
      </c>
    </row>
    <row r="71" spans="1:5" s="2" customFormat="1" ht="16.5" customHeight="1" thickBot="1" x14ac:dyDescent="0.25">
      <c r="A71" s="552" t="s">
        <v>1046</v>
      </c>
      <c r="B71" s="552" t="s">
        <v>1049</v>
      </c>
      <c r="C71" s="584"/>
      <c r="D71" s="551"/>
      <c r="E71" s="547" t="s">
        <v>739</v>
      </c>
    </row>
    <row r="72" spans="1:5" s="2" customFormat="1" ht="16.5" customHeight="1" thickBot="1" x14ac:dyDescent="0.25">
      <c r="A72" s="552" t="s">
        <v>1047</v>
      </c>
      <c r="B72" s="552" t="s">
        <v>1050</v>
      </c>
      <c r="C72" s="583"/>
      <c r="D72" s="551"/>
      <c r="E72" s="547" t="s">
        <v>740</v>
      </c>
    </row>
    <row r="73" spans="1:5" s="2" customFormat="1" ht="15.75" thickBot="1" x14ac:dyDescent="0.25">
      <c r="A73" s="552" t="s">
        <v>876</v>
      </c>
      <c r="B73" s="552" t="s">
        <v>875</v>
      </c>
      <c r="C73" s="582" t="s">
        <v>877</v>
      </c>
      <c r="D73" s="551"/>
      <c r="E73" s="547" t="str">
        <f>'1.5 - 1.9 Housing Affordability'!$B$137</f>
        <v>Table 1.7.1 Local Housing Allowance Levels by Property Size 2021/22</v>
      </c>
    </row>
    <row r="74" spans="1:5" s="2" customFormat="1" ht="16.5" customHeight="1" thickBot="1" x14ac:dyDescent="0.25">
      <c r="A74" s="552" t="s">
        <v>878</v>
      </c>
      <c r="B74" s="552" t="s">
        <v>879</v>
      </c>
      <c r="C74" s="584"/>
      <c r="D74" s="551"/>
      <c r="E74" s="547" t="str">
        <f>'1.5 - 1.9 Housing Affordability'!$B$143</f>
        <v>Table 1.7.2 Local Authority Rent Levels by Property Size 2021</v>
      </c>
    </row>
    <row r="75" spans="1:5" ht="16.5" customHeight="1" thickBot="1" x14ac:dyDescent="0.25">
      <c r="A75" s="552" t="s">
        <v>880</v>
      </c>
      <c r="B75" s="552" t="s">
        <v>881</v>
      </c>
      <c r="C75" s="584"/>
      <c r="D75" s="551"/>
      <c r="E75" s="547" t="str">
        <f>'1.5 - 1.9 Housing Affordability'!$B$148</f>
        <v>Table 1.7.3 RSL Rent Levels by Property Size 2021</v>
      </c>
    </row>
    <row r="76" spans="1:5" ht="16.5" customHeight="1" thickBot="1" x14ac:dyDescent="0.25">
      <c r="A76" s="552" t="s">
        <v>883</v>
      </c>
      <c r="B76" s="552" t="s">
        <v>882</v>
      </c>
      <c r="C76" s="583"/>
      <c r="D76" s="551"/>
      <c r="E76" s="547" t="str">
        <f>'1.5 - 1.9 Housing Affordability'!$B$154</f>
        <v>Table 1.7.4 Tenure Rent Levels Comparison 2020 by Property Size 2021/22</v>
      </c>
    </row>
    <row r="77" spans="1:5" ht="15.75" thickBot="1" x14ac:dyDescent="0.25">
      <c r="A77" s="552" t="s">
        <v>884</v>
      </c>
      <c r="B77" s="552" t="s">
        <v>885</v>
      </c>
      <c r="C77" s="371" t="s">
        <v>886</v>
      </c>
      <c r="D77" s="551"/>
      <c r="E77" s="547" t="str">
        <f>'1.5 - 1.9 Housing Affordability'!$B$160</f>
        <v>Table 1.8.1 Income Profile Estimates</v>
      </c>
    </row>
    <row r="78" spans="1:5" ht="15.75" thickBot="1" x14ac:dyDescent="0.25">
      <c r="A78" s="552" t="s">
        <v>1051</v>
      </c>
      <c r="B78" s="552" t="s">
        <v>887</v>
      </c>
      <c r="C78" s="371" t="s">
        <v>888</v>
      </c>
      <c r="D78" s="551"/>
      <c r="E78" s="547" t="str">
        <f>'1.5 - 1.9 Housing Affordability'!$B$171</f>
        <v xml:space="preserve">Table 1.8.2a CACI Banded Income Profile </v>
      </c>
    </row>
    <row r="79" spans="1:5" ht="15.75" thickBot="1" x14ac:dyDescent="0.25">
      <c r="A79" s="552" t="s">
        <v>1052</v>
      </c>
      <c r="B79" s="552" t="s">
        <v>1054</v>
      </c>
      <c r="C79" s="371" t="s">
        <v>1056</v>
      </c>
      <c r="D79" s="551"/>
      <c r="E79" s="547" t="s">
        <v>746</v>
      </c>
    </row>
    <row r="80" spans="1:5" ht="15.75" thickBot="1" x14ac:dyDescent="0.25">
      <c r="A80" s="552" t="s">
        <v>1053</v>
      </c>
      <c r="B80" s="552" t="s">
        <v>1055</v>
      </c>
      <c r="C80" s="371" t="s">
        <v>1057</v>
      </c>
      <c r="D80" s="551"/>
      <c r="E80" s="547" t="s">
        <v>889</v>
      </c>
    </row>
    <row r="81" spans="1:5" ht="15.75" thickBot="1" x14ac:dyDescent="0.25">
      <c r="A81" s="552" t="s">
        <v>1058</v>
      </c>
      <c r="B81" s="552" t="s">
        <v>1061</v>
      </c>
      <c r="C81" s="582" t="s">
        <v>891</v>
      </c>
      <c r="D81" s="551"/>
      <c r="E81" s="547" t="str">
        <f>'1.5 - 1.9 Housing Affordability'!$B$206</f>
        <v>Table 1.9.1a Housing Affordability Outcomes by Tenure (25%)</v>
      </c>
    </row>
    <row r="82" spans="1:5" ht="16.5" customHeight="1" thickBot="1" x14ac:dyDescent="0.25">
      <c r="A82" s="552" t="s">
        <v>1059</v>
      </c>
      <c r="B82" s="552" t="s">
        <v>1060</v>
      </c>
      <c r="C82" s="584"/>
      <c r="D82" s="551"/>
      <c r="E82" s="547" t="s">
        <v>748</v>
      </c>
    </row>
    <row r="83" spans="1:5" ht="16.5" customHeight="1" thickBot="1" x14ac:dyDescent="0.25">
      <c r="A83" s="552" t="s">
        <v>1062</v>
      </c>
      <c r="B83" s="552" t="s">
        <v>890</v>
      </c>
      <c r="C83" s="584"/>
      <c r="D83" s="551"/>
      <c r="E83" s="547" t="str">
        <f>'1.5 - 1.9 Housing Affordability'!$B$216</f>
        <v>Table 1.9.2a House Price Affordability Multiplier</v>
      </c>
    </row>
    <row r="84" spans="1:5" ht="16.5" customHeight="1" thickBot="1" x14ac:dyDescent="0.25">
      <c r="A84" s="552" t="s">
        <v>1063</v>
      </c>
      <c r="B84" s="552" t="s">
        <v>1068</v>
      </c>
      <c r="C84" s="584"/>
      <c r="D84" s="551"/>
      <c r="E84" s="547" t="s">
        <v>750</v>
      </c>
    </row>
    <row r="85" spans="1:5" ht="16.5" customHeight="1" thickBot="1" x14ac:dyDescent="0.25">
      <c r="A85" s="552" t="s">
        <v>1064</v>
      </c>
      <c r="B85" s="552" t="s">
        <v>1068</v>
      </c>
      <c r="C85" s="584"/>
      <c r="D85" s="551"/>
      <c r="E85" s="547" t="s">
        <v>751</v>
      </c>
    </row>
    <row r="86" spans="1:5" ht="16.5" customHeight="1" thickBot="1" x14ac:dyDescent="0.25">
      <c r="A86" s="552" t="s">
        <v>1065</v>
      </c>
      <c r="B86" s="552" t="s">
        <v>1069</v>
      </c>
      <c r="C86" s="584"/>
      <c r="D86" s="551"/>
      <c r="E86" s="547" t="s">
        <v>974</v>
      </c>
    </row>
    <row r="87" spans="1:5" ht="16.5" customHeight="1" thickBot="1" x14ac:dyDescent="0.25">
      <c r="A87" s="552" t="s">
        <v>1066</v>
      </c>
      <c r="B87" s="552" t="s">
        <v>1071</v>
      </c>
      <c r="C87" s="584"/>
      <c r="D87" s="551"/>
      <c r="E87" s="547" t="s">
        <v>1070</v>
      </c>
    </row>
    <row r="88" spans="1:5" ht="16.5" customHeight="1" x14ac:dyDescent="0.2">
      <c r="A88" s="552" t="s">
        <v>1067</v>
      </c>
      <c r="B88" s="552" t="s">
        <v>1072</v>
      </c>
      <c r="C88" s="583"/>
      <c r="D88" s="551"/>
      <c r="E88" s="547" t="s">
        <v>981</v>
      </c>
    </row>
    <row r="89" spans="1:5" ht="15.75" thickBot="1" x14ac:dyDescent="0.25">
      <c r="A89" s="586" t="s">
        <v>13</v>
      </c>
      <c r="B89" s="587"/>
      <c r="C89" s="587"/>
      <c r="D89" s="587"/>
      <c r="E89" s="587"/>
    </row>
    <row r="90" spans="1:5" ht="15.75" thickBot="1" x14ac:dyDescent="0.25">
      <c r="A90" s="552">
        <v>1.1000000000000001</v>
      </c>
      <c r="B90" s="552" t="s">
        <v>892</v>
      </c>
      <c r="C90" s="582" t="s">
        <v>893</v>
      </c>
      <c r="D90" s="551"/>
      <c r="E90" s="547" t="str">
        <f>'1.10-1.26 Economic Data'!$B$5</f>
        <v>Table 1.10 Employment levels by local authority</v>
      </c>
    </row>
    <row r="91" spans="1:5" ht="16.5" customHeight="1" thickBot="1" x14ac:dyDescent="0.25">
      <c r="A91" s="552">
        <v>1.1100000000000001</v>
      </c>
      <c r="B91" s="552" t="s">
        <v>894</v>
      </c>
      <c r="C91" s="584"/>
      <c r="D91" s="551"/>
      <c r="E91" s="547" t="str">
        <f>'1.10-1.26 Economic Data'!$B$29</f>
        <v>Table 1.11 Employment rates by local authority</v>
      </c>
    </row>
    <row r="92" spans="1:5" ht="16.5" customHeight="1" thickBot="1" x14ac:dyDescent="0.25">
      <c r="A92" s="552">
        <v>1.1200000000000001</v>
      </c>
      <c r="B92" s="552" t="s">
        <v>895</v>
      </c>
      <c r="C92" s="584"/>
      <c r="D92" s="551"/>
      <c r="E92" s="547" t="str">
        <f>'1.10-1.26 Economic Data'!$B$52</f>
        <v xml:space="preserve"> Table 1.12 Model Based Unemployment 2021 Scotland and Moray</v>
      </c>
    </row>
    <row r="93" spans="1:5" ht="16.5" customHeight="1" thickBot="1" x14ac:dyDescent="0.25">
      <c r="A93" s="552">
        <v>1.1299999999999999</v>
      </c>
      <c r="B93" s="552" t="s">
        <v>341</v>
      </c>
      <c r="C93" s="584"/>
      <c r="D93" s="551"/>
      <c r="E93" s="547" t="str">
        <f>'1.10-1.26 Economic Data'!$B$75</f>
        <v>Table 1.13 Model Based Unemployment Rate 2021 Scotland and Moray</v>
      </c>
    </row>
    <row r="94" spans="1:5" ht="16.5" customHeight="1" thickBot="1" x14ac:dyDescent="0.25">
      <c r="A94" s="552">
        <v>1.1399999999999999</v>
      </c>
      <c r="B94" s="552" t="s">
        <v>897</v>
      </c>
      <c r="C94" s="584"/>
      <c r="D94" s="551"/>
      <c r="E94" s="547" t="str">
        <f>'1.10-1.26 Economic Data'!$B$98</f>
        <v>Table 1.14 Economic Inactivity levels by local authority 2021</v>
      </c>
    </row>
    <row r="95" spans="1:5" ht="16.5" customHeight="1" thickBot="1" x14ac:dyDescent="0.25">
      <c r="A95" s="552">
        <v>1.1499999999999999</v>
      </c>
      <c r="B95" s="552" t="s">
        <v>898</v>
      </c>
      <c r="C95" s="583"/>
      <c r="D95" s="551"/>
      <c r="E95" s="547" t="str">
        <f>'1.10-1.26 Economic Data'!$B$122</f>
        <v>Table 1.15 Economic Inactivity rate by local authority, Scotland 2021</v>
      </c>
    </row>
    <row r="96" spans="1:5" ht="15.75" thickBot="1" x14ac:dyDescent="0.25">
      <c r="A96" s="552">
        <v>1.1599999999999999</v>
      </c>
      <c r="B96" s="552" t="s">
        <v>899</v>
      </c>
      <c r="C96" s="371" t="s">
        <v>900</v>
      </c>
      <c r="D96" s="551"/>
      <c r="E96" s="547" t="str">
        <f>'1.10-1.26 Economic Data'!$B$146</f>
        <v>Table 1.16 Claimant Count by Local Authority October 2020 (Experimental data)</v>
      </c>
    </row>
    <row r="97" spans="1:5" ht="15.75" thickBot="1" x14ac:dyDescent="0.25">
      <c r="A97" s="552">
        <v>1.17</v>
      </c>
      <c r="B97" s="552" t="s">
        <v>901</v>
      </c>
      <c r="C97" s="582" t="s">
        <v>902</v>
      </c>
      <c r="D97" s="551"/>
      <c r="E97" s="547" t="str">
        <f>'1.10-1.26 Economic Data'!$B$157</f>
        <v>Table 1.17 Gross Added Value</v>
      </c>
    </row>
    <row r="98" spans="1:5" ht="16.5" customHeight="1" thickBot="1" x14ac:dyDescent="0.25">
      <c r="A98" s="552">
        <v>1.18</v>
      </c>
      <c r="B98" s="552" t="s">
        <v>901</v>
      </c>
      <c r="C98" s="583"/>
      <c r="D98" s="551"/>
      <c r="E98" s="547" t="str">
        <f>'1.10-1.26 Economic Data'!$B$164</f>
        <v>Table 1.18 Gross Added Value</v>
      </c>
    </row>
    <row r="99" spans="1:5" ht="15.75" thickBot="1" x14ac:dyDescent="0.25">
      <c r="A99" s="552">
        <v>1.19</v>
      </c>
      <c r="B99" s="552" t="s">
        <v>355</v>
      </c>
      <c r="C99" s="371" t="s">
        <v>904</v>
      </c>
      <c r="D99" s="551"/>
      <c r="E99" s="547" t="str">
        <f>'1.10-1.26 Economic Data'!$B$181</f>
        <v>Table 1.19 Employment (thousands) by Local Authority County 2021</v>
      </c>
    </row>
    <row r="100" spans="1:5" ht="15.75" thickBot="1" x14ac:dyDescent="0.25">
      <c r="A100" s="552">
        <v>1.2</v>
      </c>
      <c r="B100" s="552" t="s">
        <v>903</v>
      </c>
      <c r="C100" s="371" t="s">
        <v>905</v>
      </c>
      <c r="D100" s="551"/>
      <c r="E100" s="547" t="str">
        <f>'1.10-1.26 Economic Data'!$B$188</f>
        <v>Table 1.20 Weighting of Full Time and Part Time Employment</v>
      </c>
    </row>
    <row r="101" spans="1:5" ht="15.75" thickBot="1" x14ac:dyDescent="0.25">
      <c r="A101" s="552">
        <v>1.21</v>
      </c>
      <c r="B101" s="552" t="s">
        <v>355</v>
      </c>
      <c r="C101" s="371" t="s">
        <v>904</v>
      </c>
      <c r="D101" s="551"/>
      <c r="E101" s="547" t="str">
        <f>'1.10-1.26 Economic Data'!$B$196</f>
        <v>Table 1.21 Employment (thousands) by Local Authority County 2021</v>
      </c>
    </row>
    <row r="102" spans="1:5" ht="15.75" thickBot="1" x14ac:dyDescent="0.25">
      <c r="A102" s="552">
        <v>1.22</v>
      </c>
      <c r="B102" s="552" t="s">
        <v>367</v>
      </c>
      <c r="C102" s="582" t="s">
        <v>9</v>
      </c>
      <c r="D102" s="551"/>
      <c r="E102" s="547" t="str">
        <f>'1.10-1.26 Economic Data'!$B$203</f>
        <v>Table 1.22 Enterprises by broad industry group 2022</v>
      </c>
    </row>
    <row r="103" spans="1:5" ht="16.5" customHeight="1" thickBot="1" x14ac:dyDescent="0.25">
      <c r="A103" s="552">
        <v>1.23</v>
      </c>
      <c r="B103" s="552" t="s">
        <v>367</v>
      </c>
      <c r="C103" s="584"/>
      <c r="D103" s="551"/>
      <c r="E103" s="547" t="str">
        <f>'1.10-1.26 Economic Data'!$B$209</f>
        <v>Table 1.23 Enterprises by broad industry group 2022</v>
      </c>
    </row>
    <row r="104" spans="1:5" ht="16.5" customHeight="1" thickBot="1" x14ac:dyDescent="0.25">
      <c r="A104" s="552" t="s">
        <v>1073</v>
      </c>
      <c r="B104" s="552" t="s">
        <v>906</v>
      </c>
      <c r="C104" s="584"/>
      <c r="D104" s="551"/>
      <c r="E104" s="547" t="str">
        <f>'1.10-1.26 Economic Data'!$B$215</f>
        <v>Table 1.24a Count of Births of New Enterprises</v>
      </c>
    </row>
    <row r="105" spans="1:5" ht="16.5" customHeight="1" thickBot="1" x14ac:dyDescent="0.25">
      <c r="A105" s="552" t="s">
        <v>1074</v>
      </c>
      <c r="B105" s="552" t="s">
        <v>1075</v>
      </c>
      <c r="C105" s="583"/>
      <c r="D105" s="551"/>
      <c r="E105" s="547" t="s">
        <v>769</v>
      </c>
    </row>
    <row r="106" spans="1:5" ht="15.75" thickBot="1" x14ac:dyDescent="0.25">
      <c r="A106" s="552">
        <v>1.25</v>
      </c>
      <c r="B106" s="552" t="s">
        <v>389</v>
      </c>
      <c r="C106" s="371" t="s">
        <v>907</v>
      </c>
      <c r="D106" s="551"/>
      <c r="E106" s="547" t="str">
        <f>'1.10-1.26 Economic Data'!$B$226</f>
        <v>Table 1.25 Gross Weekly Pay for All Employee Jobs</v>
      </c>
    </row>
    <row r="107" spans="1:5" x14ac:dyDescent="0.2">
      <c r="A107" s="552">
        <v>1.26</v>
      </c>
      <c r="B107" s="552" t="s">
        <v>401</v>
      </c>
      <c r="C107" s="371" t="s">
        <v>908</v>
      </c>
      <c r="D107" s="551"/>
      <c r="E107" s="547" t="str">
        <f>'1.10-1.26 Economic Data'!$B$248</f>
        <v>Table 1.26 Deprivation Top 20% Most Deprived Datazones</v>
      </c>
    </row>
    <row r="108" spans="1:5" ht="15.75" thickBot="1" x14ac:dyDescent="0.25">
      <c r="A108" s="586" t="s">
        <v>909</v>
      </c>
      <c r="B108" s="587"/>
      <c r="C108" s="587"/>
      <c r="D108" s="587"/>
      <c r="E108" s="587"/>
    </row>
    <row r="109" spans="1:5" ht="15.75" thickBot="1" x14ac:dyDescent="0.25">
      <c r="A109" s="552">
        <v>1.27</v>
      </c>
      <c r="B109" s="552" t="s">
        <v>992</v>
      </c>
      <c r="C109" s="582" t="s">
        <v>997</v>
      </c>
      <c r="D109" s="551"/>
      <c r="E109" s="547" t="s">
        <v>998</v>
      </c>
    </row>
    <row r="110" spans="1:5" ht="16.5" customHeight="1" thickBot="1" x14ac:dyDescent="0.25">
      <c r="A110" s="552">
        <v>128</v>
      </c>
      <c r="B110" s="552" t="s">
        <v>993</v>
      </c>
      <c r="C110" s="584"/>
      <c r="D110" s="551"/>
      <c r="E110" s="547" t="s">
        <v>1001</v>
      </c>
    </row>
    <row r="111" spans="1:5" ht="16.5" customHeight="1" thickBot="1" x14ac:dyDescent="0.25">
      <c r="A111" s="552">
        <v>1.29</v>
      </c>
      <c r="B111" s="552" t="s">
        <v>994</v>
      </c>
      <c r="C111" s="584"/>
      <c r="D111" s="551"/>
      <c r="E111" s="547" t="s">
        <v>999</v>
      </c>
    </row>
    <row r="112" spans="1:5" ht="16.5" customHeight="1" thickBot="1" x14ac:dyDescent="0.25">
      <c r="A112" s="552">
        <v>1.3</v>
      </c>
      <c r="B112" s="552" t="s">
        <v>995</v>
      </c>
      <c r="C112" s="584"/>
      <c r="D112" s="551"/>
      <c r="E112" s="547" t="s">
        <v>1002</v>
      </c>
    </row>
    <row r="113" spans="1:5" ht="16.5" customHeight="1" x14ac:dyDescent="0.2">
      <c r="A113" s="552">
        <v>1.31</v>
      </c>
      <c r="B113" s="552" t="s">
        <v>996</v>
      </c>
      <c r="C113" s="583"/>
      <c r="D113" s="551"/>
      <c r="E113" s="547" t="s">
        <v>1000</v>
      </c>
    </row>
  </sheetData>
  <mergeCells count="20">
    <mergeCell ref="A6:E6"/>
    <mergeCell ref="A32:E32"/>
    <mergeCell ref="A60:E60"/>
    <mergeCell ref="C21:C22"/>
    <mergeCell ref="C23:C31"/>
    <mergeCell ref="C35:C36"/>
    <mergeCell ref="C38:C52"/>
    <mergeCell ref="C97:C98"/>
    <mergeCell ref="C109:C113"/>
    <mergeCell ref="C7:C20"/>
    <mergeCell ref="C53:C59"/>
    <mergeCell ref="C67:C68"/>
    <mergeCell ref="C69:C72"/>
    <mergeCell ref="C81:C88"/>
    <mergeCell ref="C102:C105"/>
    <mergeCell ref="A108:E108"/>
    <mergeCell ref="A89:E89"/>
    <mergeCell ref="C61:C66"/>
    <mergeCell ref="C73:C76"/>
    <mergeCell ref="C90:C95"/>
  </mergeCells>
  <hyperlinks>
    <hyperlink ref="E8" location="'1.1 Population Projections'!B30" display="'1.1 Population Projections'!B30" xr:uid="{86B73A53-2F7A-41CC-AF9F-A21A20891FC0}"/>
    <hyperlink ref="E12" location="'1.1 Population Projections'!B101" display="'1.1 Population Projections'!B101" xr:uid="{92048B29-B7B9-48D2-92D3-C35994E4F906}"/>
    <hyperlink ref="E13" location="'1.1 Population Projections'!B129" display="'1.1 Population Projections'!B129" xr:uid="{44CBAA73-2E2E-4B8D-9C0F-69B590D25054}"/>
    <hyperlink ref="E21" location="'1.1 Population Projections'!B172" display="'1.1 Population Projections'!B172" xr:uid="{E0E0AE59-0DDB-411F-BB9B-558AB119B39A}"/>
    <hyperlink ref="E22" location="'1.1 Population Projections'!B177" display="'1.1 Population Projections'!B177" xr:uid="{C4C0118B-961C-46BD-8B54-889076EC284B}"/>
    <hyperlink ref="E7" location="'1.1 Population Projections'!B4" display="'1.1 Population Projections'!B4" xr:uid="{656A4C79-FA43-4384-BDDE-5731697D9C6C}"/>
    <hyperlink ref="E9" location="'1.1 Population Projections'!B39" display="'1.1 Population Projections'!B39" xr:uid="{927318CA-5B88-4779-86BA-30A5BCC45396}"/>
    <hyperlink ref="E23" location="'1.1 Population Projections'!B182" display="'1.1 Population Projections'!B182" xr:uid="{E9307782-71F9-412E-A9ED-9416AEDC70A9}"/>
    <hyperlink ref="E24" location="'1.1 Population Projections'!B188" display="'1.1 Population Projections'!B188" xr:uid="{8577C2C3-1591-43B1-AAF1-87702E7AAB02}"/>
    <hyperlink ref="E25" location="'1.1 Population Projections'!B212" display="'1.1 Population Projections'!B212" xr:uid="{C7F4D724-E87C-47E0-BA18-6A4D397B91E5}"/>
    <hyperlink ref="E28" location="'1.1 Population Projections'!B234" display="'1.1 Population Projections'!B234" xr:uid="{068D85CB-AD92-41EF-BB76-88A5687A5025}"/>
    <hyperlink ref="E29" location="'1.1 Population Projections'!B252" display="'1.1 Population Projections'!B252" xr:uid="{4A9F3F3D-1F95-4F9A-8B91-71B5B599C310}"/>
    <hyperlink ref="E30" location="'1.1 Population Projections'!B262" display="'1.1 Population Projections'!B262" xr:uid="{1B6A9332-97D6-4E50-AD28-87C68A0D702F}"/>
    <hyperlink ref="E31" location="'1.1 Population Projections'!B296" display="'1.1 Population Projections'!B296" xr:uid="{6C44B9A9-675F-4C22-8DD1-FEA97502F147}"/>
    <hyperlink ref="E33" location="'1.2-1.4 Household Projections'!B8" display="'1.2-1.4 Household Projections'!B8" xr:uid="{56803C00-3E16-487A-A050-5B3E9DE15EA7}"/>
    <hyperlink ref="E34" location="'1.2-1.4 Household Projections'!B14" display="'1.2-1.4 Household Projections'!B14" xr:uid="{BF2D843D-2226-4409-BE15-F7BDC4B827BF}"/>
    <hyperlink ref="E35" location="'1.2-1.4 Household Projections'!B36" display="'1.2-1.4 Household Projections'!B36" xr:uid="{9DE2731C-C3BC-41EE-B26A-6F5A49B7863D}"/>
    <hyperlink ref="E36" location="'1.2-1.4 Household Projections'!B61" display="'1.2-1.4 Household Projections'!B61" xr:uid="{18F780D2-09D1-4510-8A7B-F74B97778844}"/>
    <hyperlink ref="E37" location="'1.2-1.4 Household Projections'!B68" display="'1.2-1.4 Household Projections'!B68" xr:uid="{21649859-E185-45B8-A8B0-ECB30E75B73E}"/>
    <hyperlink ref="E38" location="'1.2-1.4 Household Projections'!B80" display="'1.2-1.4 Household Projections'!B80" xr:uid="{332FC236-BEC0-4269-A8E5-24042333A2D8}"/>
    <hyperlink ref="E39" location="'1.2-1.4 Household Projections'!B90" display="'1.2-1.4 Household Projections'!B90" xr:uid="{D817D3CA-28F3-4819-A3F9-131682881528}"/>
    <hyperlink ref="E40" location="'1.2-1.4 Household Projections'!B100" display="'1.2-1.4 Household Projections'!B100" xr:uid="{F68FB73B-D097-4FC9-82F0-2EF6B78A123A}"/>
    <hyperlink ref="E41" location="'1.2-1.4 Household Projections'!B114" display="'1.2-1.4 Household Projections'!B114" xr:uid="{162C5EBD-9F4E-4124-B20C-BAF92E73DA41}"/>
    <hyperlink ref="E42" location="'1.2-1.4 Household Projections'!B129" display="'1.2-1.4 Household Projections'!B129" xr:uid="{E8DA9DDE-8B3D-459E-A92F-5C170BBDA72C}"/>
    <hyperlink ref="E43" location="'1.2-1.4 Household Projections'!B138" display="'1.2-1.4 Household Projections'!B138" xr:uid="{5AF986EC-3AC9-41BD-8104-140A3E1652B4}"/>
    <hyperlink ref="E44" location="'1.2-1.4 Household Projections'!B151" display="'1.2-1.4 Household Projections'!B151" xr:uid="{C27FD006-BFE9-4599-8171-E54A8565D444}"/>
    <hyperlink ref="E45" location="'1.2-1.4 Household Projections'!B165" display="'1.2-1.4 Household Projections'!B165" xr:uid="{5008C4EA-40AF-457A-8833-8ABA3D6CD084}"/>
    <hyperlink ref="E46" location="'1.2-1.4 Household Projections'!B174" display="'1.2-1.4 Household Projections'!B174" xr:uid="{39238B77-BCDC-44A1-94B5-2ED39BD5D61E}"/>
    <hyperlink ref="E47" location="'1.2-1.4 Household Projections'!B187" display="'1.2-1.4 Household Projections'!B187" xr:uid="{8F3847CE-5738-43D7-BE14-920F7031EA3E}"/>
    <hyperlink ref="E48" location="'1.2-1.4 Household Projections'!B202" display="'1.2-1.4 Household Projections'!B202" xr:uid="{97AC860C-DEB6-4194-96E7-4504242EB836}"/>
    <hyperlink ref="E49" location="'1.2-1.4 Household Projections'!B211" display="'1.2-1.4 Household Projections'!B211" xr:uid="{A9FEFFF5-9B21-46DC-92B8-70824885875E}"/>
    <hyperlink ref="E50" location="'1.2-1.4 Household Projections'!B224" display="'1.2-1.4 Household Projections'!B224" xr:uid="{D9F1BD71-6344-4D2B-896E-9772E1A771A2}"/>
    <hyperlink ref="E51" location="'1.2-1.4 Household Projections'!B240" display="'1.2-1.4 Household Projections'!B240" xr:uid="{78844179-272C-4D13-A113-400BB6136C18}"/>
    <hyperlink ref="E52" location="'1.2-1.4 Household Projections'!B265" display="'1.2-1.4 Household Projections'!B265" xr:uid="{DF9EE1FC-CCAC-4CBE-B3F8-E1625A2E2879}"/>
    <hyperlink ref="E53" location="'1.2-1.4 Household Projections'!B275" display="'1.2-1.4 Household Projections'!B275" xr:uid="{FA033294-DAF4-415A-96A3-EA7F5BEE7E1F}"/>
    <hyperlink ref="E54" location="'1.2-1.4 Household Projections'!B286" display="'1.2-1.4 Household Projections'!B286" xr:uid="{AF8EE446-53FA-4A6B-8CE9-C504F1992DC2}"/>
    <hyperlink ref="E56" location="'1.2-1.4 Household Projections'!B297" display="'1.2-1.4 Household Projections'!B297" xr:uid="{6592FB4A-8E0E-480B-A11B-E78F4DF2C7D6}"/>
    <hyperlink ref="E58" location="'1.2-1.4 Household Projections'!B308" display="'1.2-1.4 Household Projections'!B308" xr:uid="{3D678006-DD8F-4572-B16B-57E41035E3F5}"/>
    <hyperlink ref="E61" location="'1.5 - 1.9 Housing Affordability'!B5" display="'1.5 - 1.9 Housing Affordability'!B5" xr:uid="{BD14503F-A042-40F0-B7CE-6D227B3B0C3E}"/>
    <hyperlink ref="E65" location="'1.5 - 1.9 Housing Affordability'!B47" display="'1.5 - 1.9 Housing Affordability'!B47" xr:uid="{5C59C12A-149E-4185-9112-3ED48F01ADB1}"/>
    <hyperlink ref="E66" location="'1.5 - 1.9 Housing Affordability'!B67" display="'1.5 - 1.9 Housing Affordability'!B67" xr:uid="{2A4B2FB3-7E8A-418F-8CF2-E22B2C8F8F97}"/>
    <hyperlink ref="E67" location="'1.5 - 1.9 Housing Affordability'!B84" display="'1.5 - 1.9 Housing Affordability'!B84" xr:uid="{D404BC28-6127-4F22-B971-1CCF7635E048}"/>
    <hyperlink ref="E69" location="'1.5 - 1.9 Housing Affordability'!B107" display="'1.5 - 1.9 Housing Affordability'!B107" xr:uid="{4D68ABF0-55D4-4952-AB5F-9160ECB8635E}"/>
    <hyperlink ref="E70" location="'1.5 - 1.9 Housing Affordability'!B114" display="'1.5 - 1.9 Housing Affordability'!B114" xr:uid="{2A0AFE7A-4E76-41F2-A772-75A26BD800B3}"/>
    <hyperlink ref="E73" location="'1.5 - 1.9 Housing Affordability'!B136" display="'1.5 - 1.9 Housing Affordability'!B136" xr:uid="{3EA01785-A27D-4806-AF3D-16AA6991D989}"/>
    <hyperlink ref="E74" location="'1.5 - 1.9 Housing Affordability'!B142" display="'1.5 - 1.9 Housing Affordability'!B142" xr:uid="{E86192B0-FE65-4F54-826A-5FDD2450B0E5}"/>
    <hyperlink ref="E75" location="'1.5 - 1.9 Housing Affordability'!B147" display="'1.5 - 1.9 Housing Affordability'!B147" xr:uid="{A078FAC7-4D73-4E1F-BA8E-9E9C65C1E5A0}"/>
    <hyperlink ref="E76" location="'1.5 - 1.9 Housing Affordability'!B153" display="'1.5 - 1.9 Housing Affordability'!B153" xr:uid="{2D4D273E-7CB3-4B98-8584-E9022D2FA7B4}"/>
    <hyperlink ref="E77" location="'1.5 - 1.9 Housing Affordability'!B159" display="'1.5 - 1.9 Housing Affordability'!B159" xr:uid="{E4D73C43-9DD6-45F4-9473-3D88B197DD08}"/>
    <hyperlink ref="E78" location="'1.5 - 1.9 Housing Affordability'!B170" display="'1.5 - 1.9 Housing Affordability'!B170" xr:uid="{2E4651D6-AF61-42AF-AA3F-C25143FF3EC5}"/>
    <hyperlink ref="E81" location="'1.5 - 1.9 Housing Affordability'!B191" display="'1.5 - 1.9 Housing Affordability'!B191" xr:uid="{62F6A2B7-D4C1-450C-8EEB-BACAB695DFCC}"/>
    <hyperlink ref="E83" location="'1.5 - 1.9 Housing Affordability'!B201" display="'1.5 - 1.9 Housing Affordability'!B201" xr:uid="{4224CF88-EEB2-41E8-9988-D0BF3FC72641}"/>
    <hyperlink ref="E90" location="'1.10-1.26 Economic Data'!B5" display="'1.10-1.26 Economic Data'!B5" xr:uid="{10FFB750-B1CF-43E6-A427-A68979791A01}"/>
    <hyperlink ref="E91" location="'1.10-1.26 Economic Data'!B29" display="'1.10-1.26 Economic Data'!B29" xr:uid="{00C0CF11-4C0D-42C7-8C66-95A9FF042314}"/>
    <hyperlink ref="E92" location="'1.10-1.26 Economic Data'!B52" display="'1.10-1.26 Economic Data'!B52" xr:uid="{2020EFFF-0678-4C22-88BC-C48F9D4F3D7E}"/>
    <hyperlink ref="E93" location="'1.10-1.26 Economic Data'!B75" display="'1.10-1.26 Economic Data'!B75" xr:uid="{8F272616-19B4-452A-ADFF-3CE2D28E5597}"/>
    <hyperlink ref="E94" location="'1.10-1.26 Economic Data'!B98" display="'1.10-1.26 Economic Data'!B98" xr:uid="{E56B7A9C-7A30-4C61-A3E4-895A7D8C8D0D}"/>
    <hyperlink ref="E95" location="'1.10-1.26 Economic Data'!B122" display="'1.10-1.26 Economic Data'!B122" xr:uid="{2D922772-8142-4BEE-B510-CC2C1B3DC927}"/>
    <hyperlink ref="E96" location="'1.10-1.26 Economic Data'!B146" display="'1.10-1.26 Economic Data'!B146" xr:uid="{1A1F3314-0EF9-45BB-B436-A25A9E1F1D92}"/>
    <hyperlink ref="E97" location="'1.10-1.26 Economic Data'!B157" display="'1.10-1.26 Economic Data'!B157" xr:uid="{EF37FC00-B41C-46B3-A26C-040471B2B373}"/>
    <hyperlink ref="E98" location="'1.10-1.26 Economic Data'!B164" display="'1.10-1.26 Economic Data'!B164" xr:uid="{1557DD6A-24EF-493B-9E4C-6D014F319445}"/>
    <hyperlink ref="E99" location="'1.10-1.26 Economic Data'!B181" display="'1.10-1.26 Economic Data'!B181" xr:uid="{1EE44C6F-E3DB-4535-BBB2-9BB175E61ABC}"/>
    <hyperlink ref="E100" location="'1.10-1.26 Economic Data'!B188" display="'1.10-1.26 Economic Data'!B188" xr:uid="{B2A4E1A8-5142-4C6E-B4A2-DDB1A90ADF6E}"/>
    <hyperlink ref="E101" location="'1.10-1.26 Economic Data'!B196" display="'1.10-1.26 Economic Data'!B196" xr:uid="{C3DF1648-3FC8-483E-8149-974E9097EC1A}"/>
    <hyperlink ref="E102" location="'1.10-1.26 Economic Data'!B203" display="'1.10-1.26 Economic Data'!B203" xr:uid="{DBC6C02C-AB45-4E2F-A3D0-4E6C8E96DC69}"/>
    <hyperlink ref="E103" location="'1.10-1.26 Economic Data'!B209" display="'1.10-1.26 Economic Data'!B209" xr:uid="{A894523A-1F5B-4D5A-A55E-B7A8BAD18981}"/>
    <hyperlink ref="E104" location="'1.10-1.26 Economic Data'!B215" display="'1.10-1.26 Economic Data'!B215" xr:uid="{4044BD77-A6AF-47B7-B755-B519E0F32DDF}"/>
    <hyperlink ref="E106" location="'1.10-1.26 Economic Data'!B226" display="'1.10-1.26 Economic Data'!B226" xr:uid="{46F4DD20-6A4B-4003-9AC0-A2CCB1590C8D}"/>
    <hyperlink ref="E107" location="'1.10-1.26 Economic Data'!B248" display="'1.10-1.26 Economic Data'!B248" xr:uid="{E40B3BDE-07AD-4897-A7F3-44E36645B8C0}"/>
    <hyperlink ref="E109" location="'1.27-1.31 House Sales&amp;Prices '!A1" display="Table 1.27 All House Sales Moray" xr:uid="{E72811B7-00AE-4908-A800-EDFA40420998}"/>
    <hyperlink ref="E110" location="'1.27-1.31 House Sales&amp;Prices '!A21" display="Table 1.28 House Sales Origin of Buyer" xr:uid="{0312DF73-C5D9-47DA-99B6-EFB38EC14E80}"/>
    <hyperlink ref="E111" location="'1.27-1.31 House Sales&amp;Prices '!A32" display="Table 1.29 Sale Price Analysis" xr:uid="{0E49E866-7650-4667-A4C2-D9D1F3F073E2}"/>
    <hyperlink ref="E112" location="'1.27-1.31 House Sales&amp;Prices '!A44" display="Table 1.30 Average Sale Price by Purchaser Origin" xr:uid="{1DB27830-7808-48A5-B4A6-68C90558D2DC}"/>
    <hyperlink ref="E113" location="'1.27-1.31 House Sales&amp;Prices '!A65" display="Table 1.31 House Sales and Price Analysis" xr:uid="{E9FBA921-CEBC-4284-BD53-F866CC138D58}"/>
    <hyperlink ref="E10" location="'1.1 Population Projections'!B52" display="Table 1.1.3a Components of Population Change by Birth" xr:uid="{E7AD3ACE-BD09-4858-966B-686AE91AE208}"/>
    <hyperlink ref="E11" location="'1.1 Population Projections'!H52" display="Table 1.1.3b Components of Population Change by Deaths" xr:uid="{B481475F-D3BC-4227-9BF5-6FEF93F1D5F6}"/>
    <hyperlink ref="E14" location="'1.1 Population Projections'!F129" display="Table 1.1.5b Population by Age Group &amp; Gender 2032" xr:uid="{DF274F5E-9D6B-42EA-BCC1-8636472C160D}"/>
    <hyperlink ref="E15" location="'1.1 Population Projections'!J129" display="Table 1.1.5c Population by Age Group &amp; Gender 2042" xr:uid="{309E3F94-1456-4B88-B49B-2836E1EA02ED}"/>
    <hyperlink ref="E16" location="'1.1 Population Projections'!N129" display="Table 1.1.5d % Population Change by Age Group &amp; Gender 2022 -2032" xr:uid="{44C75234-C035-473B-A83A-CA8D99102FB8}"/>
    <hyperlink ref="E17" location="'1.1 Population Projections'!R129" display="Table 1.1.5e % Population Change by Age Group &amp; Gender 2022 -2042" xr:uid="{8A54D0B9-6C0A-424A-B0B2-C90B52F31DE1}"/>
    <hyperlink ref="E18" location="'1.1 Population Projections'!B143" display="Table 1.1.5f Population by Age Group 2022" xr:uid="{A81B5843-42F8-4DEE-80A6-D35DB3A7F075}"/>
    <hyperlink ref="E19" location="'1.1 Population Projections'!B152" display="Table 1.1.5g Population by Age Group 2042" xr:uid="{FAA0C04D-A824-44C2-86AE-B7CFF4ADBFF3}"/>
    <hyperlink ref="E20" location="'1.1 Population Projections'!B162" display="Table 1.1.5h Population by Age Group 2022-2042" xr:uid="{A32E9401-DCC4-48EB-8366-10644C36C9B3}"/>
    <hyperlink ref="E26" location="'1.1 Population Projections'!F212" display="Table 1.1.10b Total net migration for ages 16-64" xr:uid="{E69770A8-02D9-4E05-8C34-A0C081B8A0E6}"/>
    <hyperlink ref="E27" location="'1.1 Population Projections'!J212" display="Table 1.1.10c Total net migration for ages 65+" xr:uid="{19B6B5FB-BBE7-4370-988C-3D243DF1D6C5}"/>
    <hyperlink ref="E55" location="'1.2-1.4 Household Projections'!B219" display="Table 1.4.2b: YES, would like to move in the next 2 years" xr:uid="{34E89DCF-3708-4414-ACF7-8BBB0CDD2D8C}"/>
    <hyperlink ref="E57" location="'1.2-1.4 Household Projections'!B303" display="Table 1.4.3b Now thinking about the property you lived in immediately before moving to your current house, where was this property?" xr:uid="{B8810F44-3079-4456-AD05-20CEC6CCF0BE}"/>
    <hyperlink ref="E59" location="'1.2-1.4 Household Projections'!B313" display="Table 1.4.4bYear Moved Out" xr:uid="{FA97185E-E6C5-4125-8ECC-2D904FEFE437}"/>
    <hyperlink ref="E62" location="'1.5 - 1.9 Housing Affordability'!B29" display="Table 1.5.1a Change in House Sale Volumes 2020 - 2021" xr:uid="{44B5ABD0-F2CA-4FC9-8CA2-A15D65B03CD1}"/>
    <hyperlink ref="E63" location="'1.5 - 1.9 Housing Affordability'!B35" display="Table 1.5.1b Change in House Sale Volumes 2011 - 2021" xr:uid="{BF0D6293-62D5-4F4A-AF40-57BAEE76BE34}"/>
    <hyperlink ref="E64" location="'1.5 - 1.9 Housing Affordability'!B41" display="Table 1.5.1c Change in House Sale Volumes 2004 - 2021" xr:uid="{507B6172-B5E7-4870-B6E4-D79D7A682D9E}"/>
    <hyperlink ref="E68" location="'1.5 - 1.9 Housing Affordability'!B95" display="Table 1.5.4b House Sale Values 2020 Datapack (2019/20)" xr:uid="{06430EDC-A1D1-4861-B067-4A966E1DFB27}"/>
    <hyperlink ref="E71" location="'1.5 - 1.9 Housing Affordability'!B121" display="Table 1.6.2b PRS Monthly Average Rents by Property Size 2020" xr:uid="{BB0701E4-D4A9-4230-87C5-C73610BB2BFD}"/>
    <hyperlink ref="E72" location="'1.5 - 1.9 Housing Affordability'!B128" display="Table 1.6.3b PRS Monthly Average Rents by Property Size 2021" xr:uid="{48ABE516-DB35-403F-BA64-AB40448E4903}"/>
    <hyperlink ref="E79" location="'1.5 - 1.9 Housing Affordability'!B177" display="Table 1.8.2b: Household Incomes Estimates 2014 and 2018" xr:uid="{2A436FC5-EE4C-4A4F-89BD-4902F129FF17}"/>
    <hyperlink ref="E80" location="'1.5 - 1.9 Housing Affordability'!B184" display="Table 1.8.2c: Average Income by Household Attributes" xr:uid="{EA109FEF-15A7-448C-825D-EDB8FD14FAF3}"/>
    <hyperlink ref="E82" location="'1.5 - 1.9 Housing Affordability'!B196" display="Table 1.9.1b Housing Affordability Outcomes by Tenure (30%)" xr:uid="{B5647B0C-0564-438D-9563-E86049A689FE}"/>
    <hyperlink ref="E84" location="'1.5 - 1.9 Housing Affordability'!B206" display="Table 1.9.2b Income : Mortgage Affordability" xr:uid="{74C8D200-B047-4AE7-BC56-9BEDA53313A9}"/>
    <hyperlink ref="E85" location="'1.5 - 1.9 Housing Affordability'!B213" display="Table 1.9.2c Income : Mortgage Affordability" xr:uid="{1A655887-6176-48C6-A3A9-9114BC5A6EA5}"/>
    <hyperlink ref="E86" location="'1.5 - 1.9 Housing Affordability'!B220" display="Table 1.9.2.d : Proportion of Household Income Required to Meet Mortage or Rent " xr:uid="{14175288-1BBE-493D-A06B-A6EAB0FC9943}"/>
    <hyperlink ref="E87" location="'1.5 - 1.9 Housing Affordability'!B230" display="Table 1.9.2.e: Income to House Price Ratio 2021" xr:uid="{82E1A5D6-ECC4-4D9F-A9B9-F798C1E94DA3}"/>
    <hyperlink ref="E88" location="'1.5 - 1.9 Housing Affordability'!B238" display="Table 1.9.2.f: Income to Price Ratio per Moray HMA 2018/19 " xr:uid="{5B9D8A5E-A8F0-4C4E-9983-726C8FF361F8}"/>
    <hyperlink ref="E105" location="'1.10-1.26 Economic Data'!B220" display="Table 1.24b Count of Death of New Enterprises" xr:uid="{72BC8343-1802-4398-91A1-4026D1232932}"/>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56BA9-79EC-4AE4-8E30-629A2B7D2337}">
  <dimension ref="A2:U401"/>
  <sheetViews>
    <sheetView topLeftCell="D186" zoomScale="95" workbookViewId="0">
      <selection activeCell="F376" sqref="F376"/>
    </sheetView>
  </sheetViews>
  <sheetFormatPr defaultRowHeight="14.25" x14ac:dyDescent="0.2"/>
  <cols>
    <col min="1" max="1" width="7.140625" style="12" customWidth="1"/>
    <col min="2" max="2" width="100.28515625" style="12" customWidth="1"/>
    <col min="3" max="3" width="23.7109375" style="12" customWidth="1"/>
    <col min="4" max="4" width="44.5703125" style="12" customWidth="1"/>
    <col min="5" max="5" width="23.7109375" style="12" customWidth="1"/>
    <col min="6" max="21" width="15.7109375" style="12" customWidth="1"/>
    <col min="22" max="16384" width="9.140625" style="12"/>
  </cols>
  <sheetData>
    <row r="2" spans="1:5" ht="15.75" customHeight="1" x14ac:dyDescent="0.2">
      <c r="A2" s="40">
        <v>2.1</v>
      </c>
      <c r="B2" s="40" t="s">
        <v>10</v>
      </c>
      <c r="C2" s="107" t="s">
        <v>11</v>
      </c>
      <c r="D2" s="107" t="s">
        <v>405</v>
      </c>
      <c r="E2" s="107"/>
    </row>
    <row r="3" spans="1:5" ht="15.75" customHeight="1" x14ac:dyDescent="0.2">
      <c r="A3" s="40">
        <v>2.11</v>
      </c>
      <c r="B3" s="40" t="s">
        <v>12</v>
      </c>
      <c r="C3" s="107" t="s">
        <v>8</v>
      </c>
      <c r="D3" s="107" t="s">
        <v>406</v>
      </c>
      <c r="E3" s="107" t="s">
        <v>407</v>
      </c>
    </row>
    <row r="4" spans="1:5" ht="15.75" customHeight="1" x14ac:dyDescent="0.2">
      <c r="A4" s="40">
        <v>2.1199999999999997</v>
      </c>
      <c r="B4" s="40" t="s">
        <v>14</v>
      </c>
      <c r="C4" s="107" t="s">
        <v>8</v>
      </c>
      <c r="D4" s="107" t="s">
        <v>408</v>
      </c>
      <c r="E4" s="107"/>
    </row>
    <row r="5" spans="1:5" ht="15.75" customHeight="1" x14ac:dyDescent="0.2">
      <c r="A5" s="40">
        <v>2.1299999999999994</v>
      </c>
      <c r="B5" s="40" t="s">
        <v>15</v>
      </c>
      <c r="C5" s="107" t="s">
        <v>9</v>
      </c>
      <c r="D5" s="107" t="s">
        <v>409</v>
      </c>
      <c r="E5" s="107"/>
    </row>
    <row r="6" spans="1:5" ht="15.75" customHeight="1" x14ac:dyDescent="0.2">
      <c r="A6" s="40">
        <v>2.1399999999999992</v>
      </c>
      <c r="B6" s="40" t="s">
        <v>16</v>
      </c>
      <c r="C6" s="107" t="s">
        <v>9</v>
      </c>
      <c r="D6" s="107" t="s">
        <v>409</v>
      </c>
      <c r="E6" s="107"/>
    </row>
    <row r="7" spans="1:5" ht="15.75" customHeight="1" x14ac:dyDescent="0.2">
      <c r="A7" s="40">
        <v>2.149999999999999</v>
      </c>
      <c r="B7" s="40" t="s">
        <v>17</v>
      </c>
      <c r="C7" s="107" t="s">
        <v>9</v>
      </c>
      <c r="D7" s="107" t="s">
        <v>409</v>
      </c>
      <c r="E7" s="107"/>
    </row>
    <row r="8" spans="1:5" ht="15.75" customHeight="1" x14ac:dyDescent="0.2">
      <c r="A8" s="40">
        <v>2.1599999999999988</v>
      </c>
      <c r="B8" s="40" t="s">
        <v>18</v>
      </c>
      <c r="C8" s="107" t="s">
        <v>9</v>
      </c>
      <c r="D8" s="107" t="s">
        <v>410</v>
      </c>
      <c r="E8" s="107"/>
    </row>
    <row r="9" spans="1:5" ht="15.75" customHeight="1" x14ac:dyDescent="0.2">
      <c r="A9" s="40">
        <v>2.1699999999999986</v>
      </c>
      <c r="B9" s="40" t="s">
        <v>19</v>
      </c>
      <c r="C9" s="107" t="s">
        <v>9</v>
      </c>
      <c r="D9" s="107" t="s">
        <v>409</v>
      </c>
      <c r="E9" s="107"/>
    </row>
    <row r="10" spans="1:5" ht="15.75" customHeight="1" x14ac:dyDescent="0.2">
      <c r="A10" s="40">
        <v>2.1799999999999984</v>
      </c>
      <c r="B10" s="40" t="s">
        <v>20</v>
      </c>
      <c r="C10" s="107" t="s">
        <v>9</v>
      </c>
      <c r="D10" s="107" t="s">
        <v>406</v>
      </c>
      <c r="E10" s="107" t="s">
        <v>411</v>
      </c>
    </row>
    <row r="11" spans="1:5" ht="15.75" customHeight="1" x14ac:dyDescent="0.2">
      <c r="A11" s="40">
        <v>2.1899999999999982</v>
      </c>
      <c r="B11" s="40" t="s">
        <v>21</v>
      </c>
      <c r="C11" s="107" t="s">
        <v>9</v>
      </c>
      <c r="D11" s="107" t="s">
        <v>409</v>
      </c>
      <c r="E11" s="107"/>
    </row>
    <row r="12" spans="1:5" ht="15.75" customHeight="1" x14ac:dyDescent="0.2">
      <c r="A12" s="40">
        <v>2.199999999999998</v>
      </c>
      <c r="B12" s="40" t="s">
        <v>22</v>
      </c>
      <c r="C12" s="107" t="s">
        <v>9</v>
      </c>
      <c r="D12" s="107" t="s">
        <v>409</v>
      </c>
      <c r="E12" s="107"/>
    </row>
    <row r="13" spans="1:5" ht="15.75" customHeight="1" x14ac:dyDescent="0.2">
      <c r="A13" s="40">
        <v>2.2099999999999977</v>
      </c>
      <c r="B13" s="40" t="s">
        <v>23</v>
      </c>
      <c r="C13" s="107" t="s">
        <v>9</v>
      </c>
      <c r="D13" s="107" t="s">
        <v>409</v>
      </c>
      <c r="E13" s="107"/>
    </row>
    <row r="14" spans="1:5" ht="15.75" customHeight="1" x14ac:dyDescent="0.2">
      <c r="A14" s="40">
        <v>2.2199999999999975</v>
      </c>
      <c r="B14" s="40" t="s">
        <v>24</v>
      </c>
      <c r="C14" s="107" t="s">
        <v>25</v>
      </c>
      <c r="D14" s="107" t="s">
        <v>412</v>
      </c>
      <c r="E14" s="107"/>
    </row>
    <row r="15" spans="1:5" ht="15.75" customHeight="1" x14ac:dyDescent="0.2">
      <c r="A15" s="40">
        <v>2.2299999999999973</v>
      </c>
      <c r="B15" s="40" t="s">
        <v>26</v>
      </c>
      <c r="C15" s="107" t="s">
        <v>25</v>
      </c>
      <c r="D15" s="107" t="s">
        <v>413</v>
      </c>
      <c r="E15" s="107"/>
    </row>
    <row r="16" spans="1:5" ht="15.75" customHeight="1" x14ac:dyDescent="0.2">
      <c r="A16" s="40">
        <v>2.2399999999999971</v>
      </c>
      <c r="B16" s="40" t="s">
        <v>27</v>
      </c>
      <c r="C16" s="107" t="s">
        <v>25</v>
      </c>
      <c r="D16" s="107" t="s">
        <v>414</v>
      </c>
      <c r="E16" s="107"/>
    </row>
    <row r="17" spans="1:6" ht="15.75" customHeight="1" x14ac:dyDescent="0.2">
      <c r="A17" s="40">
        <v>2.2499999999999969</v>
      </c>
      <c r="B17" s="40" t="s">
        <v>28</v>
      </c>
      <c r="C17" s="107" t="s">
        <v>25</v>
      </c>
      <c r="D17" s="107" t="s">
        <v>415</v>
      </c>
      <c r="E17" s="107"/>
    </row>
    <row r="18" spans="1:6" ht="15.75" customHeight="1" x14ac:dyDescent="0.2">
      <c r="A18" s="40">
        <v>2.2599999999999967</v>
      </c>
      <c r="B18" s="40" t="s">
        <v>29</v>
      </c>
      <c r="C18" s="107" t="s">
        <v>25</v>
      </c>
      <c r="D18" s="107" t="s">
        <v>416</v>
      </c>
      <c r="E18" s="107"/>
    </row>
    <row r="23" spans="1:6" ht="15" x14ac:dyDescent="0.25">
      <c r="A23" s="12">
        <v>2.1</v>
      </c>
      <c r="B23" s="16" t="s">
        <v>417</v>
      </c>
    </row>
    <row r="24" spans="1:6" x14ac:dyDescent="0.2">
      <c r="B24" s="91"/>
      <c r="C24" s="92" t="s">
        <v>418</v>
      </c>
      <c r="D24" s="92"/>
      <c r="E24" s="645" t="s">
        <v>342</v>
      </c>
      <c r="F24" s="645"/>
    </row>
    <row r="25" spans="1:6" x14ac:dyDescent="0.2">
      <c r="B25" s="88"/>
      <c r="C25" s="118" t="s">
        <v>343</v>
      </c>
      <c r="D25" s="118" t="s">
        <v>344</v>
      </c>
      <c r="E25" s="118" t="s">
        <v>345</v>
      </c>
      <c r="F25" s="118" t="s">
        <v>346</v>
      </c>
    </row>
    <row r="26" spans="1:6" x14ac:dyDescent="0.2">
      <c r="B26" s="88" t="s">
        <v>166</v>
      </c>
      <c r="C26" s="93">
        <v>2.5</v>
      </c>
      <c r="D26" s="93">
        <v>1400</v>
      </c>
      <c r="E26" s="93">
        <v>-1.3</v>
      </c>
      <c r="F26" s="93">
        <v>-800</v>
      </c>
    </row>
    <row r="27" spans="1:6" x14ac:dyDescent="0.2">
      <c r="B27" s="88" t="s">
        <v>419</v>
      </c>
      <c r="C27" s="93">
        <v>4.2</v>
      </c>
      <c r="D27" s="93">
        <v>3100</v>
      </c>
      <c r="E27" s="93">
        <v>-2.2000000000000002</v>
      </c>
      <c r="F27" s="93">
        <v>-1400</v>
      </c>
    </row>
    <row r="28" spans="1:6" x14ac:dyDescent="0.2">
      <c r="B28" s="88" t="s">
        <v>168</v>
      </c>
      <c r="C28" s="94">
        <v>3.9</v>
      </c>
      <c r="D28" s="94">
        <v>7000</v>
      </c>
      <c r="E28" s="94">
        <v>-0.7</v>
      </c>
      <c r="F28" s="94">
        <v>-1300</v>
      </c>
    </row>
    <row r="29" spans="1:6" x14ac:dyDescent="0.2">
      <c r="B29" s="88" t="s">
        <v>420</v>
      </c>
      <c r="C29" s="93">
        <v>2.6</v>
      </c>
      <c r="D29" s="93">
        <v>2000</v>
      </c>
      <c r="E29" s="93">
        <v>-0.2</v>
      </c>
      <c r="F29" s="93">
        <v>-300</v>
      </c>
    </row>
    <row r="30" spans="1:6" x14ac:dyDescent="0.2">
      <c r="B30" s="88" t="s">
        <v>41</v>
      </c>
      <c r="C30" s="93">
        <v>3.3</v>
      </c>
      <c r="D30" s="93">
        <v>90200</v>
      </c>
      <c r="E30" s="93">
        <v>-0.8</v>
      </c>
      <c r="F30" s="93">
        <v>-22500</v>
      </c>
    </row>
    <row r="34" spans="2:6" ht="15" x14ac:dyDescent="0.25">
      <c r="B34" s="16" t="s">
        <v>421</v>
      </c>
    </row>
    <row r="35" spans="2:6" x14ac:dyDescent="0.2">
      <c r="B35" s="88"/>
      <c r="C35" s="88" t="s">
        <v>422</v>
      </c>
      <c r="D35" s="88" t="s">
        <v>423</v>
      </c>
      <c r="E35" s="88" t="s">
        <v>424</v>
      </c>
      <c r="F35" s="88" t="s">
        <v>425</v>
      </c>
    </row>
    <row r="36" spans="2:6" x14ac:dyDescent="0.2">
      <c r="B36" s="88" t="s">
        <v>166</v>
      </c>
      <c r="C36" s="40">
        <v>3775</v>
      </c>
      <c r="D36" s="40">
        <v>86.7</v>
      </c>
      <c r="E36" s="40">
        <v>5.4</v>
      </c>
      <c r="F36" s="40">
        <v>2.5</v>
      </c>
    </row>
    <row r="37" spans="2:6" x14ac:dyDescent="0.2">
      <c r="B37" s="88" t="s">
        <v>419</v>
      </c>
      <c r="C37" s="40">
        <v>7160</v>
      </c>
      <c r="D37" s="40">
        <v>59</v>
      </c>
      <c r="E37" s="40">
        <v>7.2</v>
      </c>
      <c r="F37" s="40">
        <v>2.7</v>
      </c>
    </row>
    <row r="38" spans="2:6" x14ac:dyDescent="0.2">
      <c r="B38" s="88" t="s">
        <v>168</v>
      </c>
      <c r="C38" s="84">
        <v>14780</v>
      </c>
      <c r="D38" s="84">
        <v>73.7</v>
      </c>
      <c r="E38" s="84">
        <v>6.4</v>
      </c>
      <c r="F38" s="84">
        <v>2.7</v>
      </c>
    </row>
    <row r="39" spans="2:6" x14ac:dyDescent="0.2">
      <c r="B39" s="88" t="s">
        <v>420</v>
      </c>
      <c r="C39" s="40">
        <v>4270</v>
      </c>
      <c r="D39" s="40">
        <v>142.6</v>
      </c>
      <c r="E39" s="40">
        <v>4.7</v>
      </c>
      <c r="F39" s="40">
        <v>2.7</v>
      </c>
    </row>
    <row r="40" spans="2:6" x14ac:dyDescent="0.2">
      <c r="B40" s="88" t="s">
        <v>41</v>
      </c>
      <c r="C40" s="40">
        <v>211225</v>
      </c>
      <c r="D40" s="40">
        <v>94.5</v>
      </c>
      <c r="E40" s="40">
        <v>6</v>
      </c>
      <c r="F40" s="40">
        <v>2.9</v>
      </c>
    </row>
    <row r="43" spans="2:6" ht="15" x14ac:dyDescent="0.25">
      <c r="B43" s="16" t="s">
        <v>426</v>
      </c>
    </row>
    <row r="44" spans="2:6" x14ac:dyDescent="0.2">
      <c r="B44" s="88"/>
      <c r="C44" s="632" t="s">
        <v>344</v>
      </c>
      <c r="D44" s="632"/>
      <c r="E44" s="632" t="s">
        <v>343</v>
      </c>
      <c r="F44" s="632"/>
    </row>
    <row r="45" spans="2:6" x14ac:dyDescent="0.2">
      <c r="B45" s="88"/>
      <c r="C45" s="120" t="s">
        <v>347</v>
      </c>
      <c r="D45" s="120" t="s">
        <v>342</v>
      </c>
      <c r="E45" s="120" t="s">
        <v>347</v>
      </c>
      <c r="F45" s="120" t="s">
        <v>348</v>
      </c>
    </row>
    <row r="46" spans="2:6" x14ac:dyDescent="0.2">
      <c r="B46" s="88" t="s">
        <v>41</v>
      </c>
      <c r="C46" s="95">
        <v>42320</v>
      </c>
      <c r="D46" s="95">
        <v>21220</v>
      </c>
      <c r="E46" s="96">
        <v>7.3763948393124199</v>
      </c>
      <c r="F46" s="96">
        <v>3.699526948591827</v>
      </c>
    </row>
    <row r="47" spans="2:6" x14ac:dyDescent="0.2">
      <c r="B47" s="88" t="s">
        <v>166</v>
      </c>
      <c r="C47" s="95">
        <v>815</v>
      </c>
      <c r="D47" s="95">
        <v>350</v>
      </c>
      <c r="E47" s="96">
        <v>7.6047401324997672</v>
      </c>
      <c r="F47" s="96">
        <v>3.2658393207054215</v>
      </c>
    </row>
    <row r="48" spans="2:6" x14ac:dyDescent="0.2">
      <c r="B48" s="88" t="s">
        <v>419</v>
      </c>
      <c r="C48" s="95">
        <v>1595</v>
      </c>
      <c r="D48" s="95">
        <v>625</v>
      </c>
      <c r="E48" s="96">
        <v>7.638523059240458</v>
      </c>
      <c r="F48" s="96">
        <v>2.9931516689813713</v>
      </c>
    </row>
    <row r="49" spans="2:6" x14ac:dyDescent="0.2">
      <c r="B49" s="88" t="s">
        <v>168</v>
      </c>
      <c r="C49" s="97">
        <v>3195</v>
      </c>
      <c r="D49" s="97">
        <v>1430</v>
      </c>
      <c r="E49" s="98">
        <v>7.9753376101445301</v>
      </c>
      <c r="F49" s="98">
        <v>3.5695564264496644</v>
      </c>
    </row>
    <row r="50" spans="2:6" x14ac:dyDescent="0.2">
      <c r="B50" s="88" t="s">
        <v>420</v>
      </c>
      <c r="C50" s="95">
        <v>895</v>
      </c>
      <c r="D50" s="95">
        <v>535</v>
      </c>
      <c r="E50" s="96">
        <v>6.5119324796274736</v>
      </c>
      <c r="F50" s="96">
        <v>3.9289871944121062</v>
      </c>
    </row>
    <row r="53" spans="2:6" ht="15" x14ac:dyDescent="0.25">
      <c r="B53" s="16" t="s">
        <v>427</v>
      </c>
    </row>
    <row r="54" spans="2:6" x14ac:dyDescent="0.2">
      <c r="B54" s="88"/>
      <c r="C54" s="88" t="s">
        <v>428</v>
      </c>
      <c r="D54" s="88" t="s">
        <v>423</v>
      </c>
      <c r="E54" s="88" t="s">
        <v>429</v>
      </c>
      <c r="F54" s="88" t="s">
        <v>425</v>
      </c>
    </row>
    <row r="55" spans="2:6" x14ac:dyDescent="0.2">
      <c r="B55" s="88" t="s">
        <v>166</v>
      </c>
      <c r="C55" s="40">
        <v>4019</v>
      </c>
      <c r="D55" s="85">
        <v>81.937528293345395</v>
      </c>
      <c r="E55" s="85">
        <v>5.8023532808777878</v>
      </c>
      <c r="F55" s="40">
        <v>2.6</v>
      </c>
    </row>
    <row r="56" spans="2:6" x14ac:dyDescent="0.2">
      <c r="B56" s="88" t="s">
        <v>419</v>
      </c>
      <c r="C56" s="40">
        <v>7545</v>
      </c>
      <c r="D56" s="85">
        <v>66.814061463630338</v>
      </c>
      <c r="E56" s="85">
        <v>7.6051567902105655</v>
      </c>
      <c r="F56" s="40">
        <v>3</v>
      </c>
    </row>
    <row r="57" spans="2:6" x14ac:dyDescent="0.2">
      <c r="B57" s="88" t="s">
        <v>168</v>
      </c>
      <c r="C57" s="84">
        <v>16179</v>
      </c>
      <c r="D57" s="99">
        <v>82.792904756524678</v>
      </c>
      <c r="E57" s="99">
        <v>6.9744885202652025</v>
      </c>
      <c r="F57" s="84">
        <v>3.2</v>
      </c>
    </row>
    <row r="58" spans="2:6" x14ac:dyDescent="0.2">
      <c r="B58" s="88" t="s">
        <v>420</v>
      </c>
      <c r="C58" s="40">
        <v>4680</v>
      </c>
      <c r="D58" s="85">
        <v>156.86059275521407</v>
      </c>
      <c r="E58" s="85">
        <v>5.1038769834778339</v>
      </c>
      <c r="F58" s="40">
        <v>3.1</v>
      </c>
    </row>
    <row r="59" spans="2:6" x14ac:dyDescent="0.2">
      <c r="B59" s="88" t="s">
        <v>41</v>
      </c>
      <c r="C59" s="40">
        <v>223065</v>
      </c>
      <c r="D59" s="85">
        <v>102.33020100137873</v>
      </c>
      <c r="E59" s="85">
        <v>6.3773708758581931</v>
      </c>
      <c r="F59" s="40">
        <v>3.2</v>
      </c>
    </row>
    <row r="62" spans="2:6" ht="15" x14ac:dyDescent="0.25">
      <c r="B62" s="16" t="s">
        <v>430</v>
      </c>
    </row>
    <row r="63" spans="2:6" x14ac:dyDescent="0.2">
      <c r="B63" s="88"/>
      <c r="C63" s="632" t="s">
        <v>344</v>
      </c>
      <c r="D63" s="632"/>
      <c r="E63" s="632" t="s">
        <v>343</v>
      </c>
      <c r="F63" s="632"/>
    </row>
    <row r="64" spans="2:6" x14ac:dyDescent="0.2">
      <c r="B64" s="88"/>
      <c r="C64" s="100">
        <v>44044</v>
      </c>
      <c r="D64" s="88" t="s">
        <v>342</v>
      </c>
      <c r="E64" s="100">
        <v>44044</v>
      </c>
      <c r="F64" s="88" t="s">
        <v>348</v>
      </c>
    </row>
    <row r="65" spans="1:14" x14ac:dyDescent="0.2">
      <c r="B65" s="88" t="s">
        <v>41</v>
      </c>
      <c r="C65" s="40">
        <v>45248</v>
      </c>
      <c r="D65" s="40">
        <v>24119</v>
      </c>
      <c r="E65" s="40">
        <v>7.9</v>
      </c>
      <c r="F65" s="40">
        <v>4.2</v>
      </c>
    </row>
    <row r="66" spans="1:14" x14ac:dyDescent="0.2">
      <c r="B66" s="88" t="s">
        <v>166</v>
      </c>
      <c r="C66" s="40">
        <v>874</v>
      </c>
      <c r="D66" s="40">
        <v>404</v>
      </c>
      <c r="E66" s="40">
        <v>8.1999999999999993</v>
      </c>
      <c r="F66" s="40">
        <v>3.8</v>
      </c>
    </row>
    <row r="67" spans="1:14" x14ac:dyDescent="0.2">
      <c r="B67" s="88" t="s">
        <v>419</v>
      </c>
      <c r="C67" s="40">
        <v>1703</v>
      </c>
      <c r="D67" s="40">
        <v>730</v>
      </c>
      <c r="E67" s="40">
        <v>8.1999999999999993</v>
      </c>
      <c r="F67" s="40">
        <v>3.5</v>
      </c>
    </row>
    <row r="68" spans="1:14" x14ac:dyDescent="0.2">
      <c r="B68" s="88" t="s">
        <v>168</v>
      </c>
      <c r="C68" s="84">
        <v>3464</v>
      </c>
      <c r="D68" s="84">
        <v>1650</v>
      </c>
      <c r="E68" s="84">
        <v>8.6</v>
      </c>
      <c r="F68" s="84">
        <v>4.0999999999999996</v>
      </c>
    </row>
    <row r="69" spans="1:14" x14ac:dyDescent="0.2">
      <c r="B69" s="88" t="s">
        <v>420</v>
      </c>
      <c r="C69" s="40">
        <v>951</v>
      </c>
      <c r="D69" s="40">
        <v>600</v>
      </c>
      <c r="E69" s="40">
        <v>6.9</v>
      </c>
      <c r="F69" s="40">
        <v>4.4000000000000004</v>
      </c>
    </row>
    <row r="70" spans="1:14" ht="15" x14ac:dyDescent="0.25">
      <c r="A70" s="12">
        <v>2.13</v>
      </c>
      <c r="B70" s="16" t="s">
        <v>431</v>
      </c>
    </row>
    <row r="72" spans="1:14" x14ac:dyDescent="0.2">
      <c r="B72" s="88" t="s">
        <v>432</v>
      </c>
      <c r="C72" s="632" t="s">
        <v>358</v>
      </c>
      <c r="D72" s="632"/>
      <c r="E72" s="632"/>
      <c r="F72" s="632" t="s">
        <v>359</v>
      </c>
      <c r="G72" s="632"/>
      <c r="H72" s="632"/>
      <c r="I72" s="632" t="s">
        <v>360</v>
      </c>
      <c r="J72" s="632"/>
      <c r="K72" s="632"/>
      <c r="L72" s="632" t="s">
        <v>361</v>
      </c>
      <c r="M72" s="632"/>
      <c r="N72" s="632"/>
    </row>
    <row r="73" spans="1:14" x14ac:dyDescent="0.2">
      <c r="B73" s="88"/>
      <c r="C73" s="88" t="s">
        <v>433</v>
      </c>
      <c r="D73" s="88" t="s">
        <v>434</v>
      </c>
      <c r="E73" s="88" t="s">
        <v>390</v>
      </c>
      <c r="F73" s="88" t="s">
        <v>433</v>
      </c>
      <c r="G73" s="88" t="s">
        <v>434</v>
      </c>
      <c r="H73" s="88" t="s">
        <v>390</v>
      </c>
      <c r="I73" s="88" t="s">
        <v>433</v>
      </c>
      <c r="J73" s="88" t="s">
        <v>434</v>
      </c>
      <c r="K73" s="88" t="s">
        <v>390</v>
      </c>
      <c r="L73" s="88" t="s">
        <v>433</v>
      </c>
      <c r="M73" s="88" t="s">
        <v>434</v>
      </c>
      <c r="N73" s="88" t="s">
        <v>390</v>
      </c>
    </row>
    <row r="74" spans="1:14" x14ac:dyDescent="0.2">
      <c r="B74" s="88" t="s">
        <v>166</v>
      </c>
      <c r="C74" s="40">
        <v>4.0999999999999996</v>
      </c>
      <c r="D74" s="40">
        <v>17.2</v>
      </c>
      <c r="E74" s="40">
        <v>21.3</v>
      </c>
      <c r="F74" s="40">
        <v>2.4</v>
      </c>
      <c r="G74" s="40">
        <v>8.8000000000000007</v>
      </c>
      <c r="H74" s="40">
        <v>11.3</v>
      </c>
      <c r="I74" s="40">
        <v>6.6</v>
      </c>
      <c r="J74" s="40">
        <v>26</v>
      </c>
      <c r="K74" s="40">
        <v>32.6</v>
      </c>
      <c r="L74" s="40">
        <v>6.6</v>
      </c>
      <c r="M74" s="40">
        <v>27.4</v>
      </c>
      <c r="N74" s="40">
        <v>34</v>
      </c>
    </row>
    <row r="75" spans="1:14" x14ac:dyDescent="0.2">
      <c r="B75" s="88" t="s">
        <v>419</v>
      </c>
      <c r="C75" s="40">
        <v>15.5</v>
      </c>
      <c r="D75" s="40">
        <v>31.4</v>
      </c>
      <c r="E75" s="40">
        <v>47</v>
      </c>
      <c r="F75" s="40">
        <v>8.3000000000000007</v>
      </c>
      <c r="G75" s="40">
        <v>18.8</v>
      </c>
      <c r="H75" s="40">
        <v>27.1</v>
      </c>
      <c r="I75" s="40">
        <v>23.9</v>
      </c>
      <c r="J75" s="40">
        <v>50.2</v>
      </c>
      <c r="K75" s="40">
        <v>74.099999999999994</v>
      </c>
      <c r="L75" s="40">
        <v>23.9</v>
      </c>
      <c r="M75" s="40">
        <v>51.5</v>
      </c>
      <c r="N75" s="40">
        <v>75.400000000000006</v>
      </c>
    </row>
    <row r="76" spans="1:14" x14ac:dyDescent="0.2">
      <c r="B76" s="88" t="s">
        <v>168</v>
      </c>
      <c r="C76" s="84">
        <v>19.8</v>
      </c>
      <c r="D76" s="84">
        <v>67</v>
      </c>
      <c r="E76" s="84">
        <v>86.8</v>
      </c>
      <c r="F76" s="84">
        <v>12.3</v>
      </c>
      <c r="G76" s="84">
        <v>31.2</v>
      </c>
      <c r="H76" s="84">
        <v>43.6</v>
      </c>
      <c r="I76" s="84">
        <v>32.200000000000003</v>
      </c>
      <c r="J76" s="84">
        <v>98.2</v>
      </c>
      <c r="K76" s="84">
        <v>130.4</v>
      </c>
      <c r="L76" s="84">
        <v>32.200000000000003</v>
      </c>
      <c r="M76" s="84">
        <v>102</v>
      </c>
      <c r="N76" s="84">
        <v>134.19999999999999</v>
      </c>
    </row>
    <row r="77" spans="1:14" x14ac:dyDescent="0.2">
      <c r="B77" s="88" t="s">
        <v>169</v>
      </c>
      <c r="C77" s="40">
        <v>7.6</v>
      </c>
      <c r="D77" s="40">
        <v>33.299999999999997</v>
      </c>
      <c r="E77" s="40">
        <v>40.799999999999997</v>
      </c>
      <c r="F77" s="40">
        <v>3.5</v>
      </c>
      <c r="G77" s="40">
        <v>16.899999999999999</v>
      </c>
      <c r="H77" s="40">
        <v>20.399999999999999</v>
      </c>
      <c r="I77" s="40">
        <v>11</v>
      </c>
      <c r="J77" s="40">
        <v>50.1</v>
      </c>
      <c r="K77" s="40">
        <v>61.2</v>
      </c>
      <c r="L77" s="40">
        <v>11</v>
      </c>
      <c r="M77" s="40">
        <v>52.9</v>
      </c>
      <c r="N77" s="40">
        <v>64</v>
      </c>
    </row>
    <row r="78" spans="1:14" x14ac:dyDescent="0.2">
      <c r="B78" s="88" t="s">
        <v>41</v>
      </c>
      <c r="C78" s="40">
        <v>356.6</v>
      </c>
      <c r="D78" s="40">
        <v>1282.9000000000001</v>
      </c>
      <c r="E78" s="40">
        <v>1639.6</v>
      </c>
      <c r="F78" s="40">
        <v>224.5</v>
      </c>
      <c r="G78" s="40">
        <v>608.1</v>
      </c>
      <c r="H78" s="40">
        <v>832.6</v>
      </c>
      <c r="I78" s="40">
        <v>581.1</v>
      </c>
      <c r="J78" s="40">
        <v>1891.1</v>
      </c>
      <c r="K78" s="40">
        <v>2472.1999999999998</v>
      </c>
      <c r="L78" s="40">
        <v>581.20000000000005</v>
      </c>
      <c r="M78" s="40">
        <v>1950.1</v>
      </c>
      <c r="N78" s="40">
        <v>2531.1999999999998</v>
      </c>
    </row>
    <row r="81" spans="1:21" ht="15" x14ac:dyDescent="0.25">
      <c r="A81" s="12">
        <v>2.14</v>
      </c>
      <c r="B81" s="16" t="s">
        <v>435</v>
      </c>
      <c r="C81" s="16"/>
      <c r="D81" s="16"/>
      <c r="E81" s="16"/>
      <c r="F81" s="16"/>
      <c r="G81" s="16"/>
      <c r="H81" s="16"/>
      <c r="I81" s="16"/>
      <c r="J81" s="16"/>
      <c r="K81" s="16"/>
      <c r="L81" s="16"/>
      <c r="M81" s="16"/>
      <c r="N81" s="16"/>
      <c r="O81" s="16"/>
      <c r="P81" s="16"/>
      <c r="Q81" s="16"/>
      <c r="R81" s="16"/>
      <c r="S81" s="16"/>
    </row>
    <row r="82" spans="1:21" x14ac:dyDescent="0.2">
      <c r="B82" s="88"/>
      <c r="C82" s="88" t="s">
        <v>436</v>
      </c>
      <c r="D82" s="88" t="s">
        <v>437</v>
      </c>
      <c r="E82" s="88" t="s">
        <v>438</v>
      </c>
      <c r="F82" s="88" t="s">
        <v>439</v>
      </c>
      <c r="G82" s="88" t="s">
        <v>440</v>
      </c>
      <c r="H82" s="88" t="s">
        <v>441</v>
      </c>
      <c r="I82" s="88" t="s">
        <v>442</v>
      </c>
      <c r="J82" s="88" t="s">
        <v>443</v>
      </c>
      <c r="K82" s="88" t="s">
        <v>444</v>
      </c>
      <c r="L82" s="88" t="s">
        <v>445</v>
      </c>
      <c r="M82" s="88" t="s">
        <v>446</v>
      </c>
      <c r="N82" s="88" t="s">
        <v>447</v>
      </c>
      <c r="O82" s="88" t="s">
        <v>448</v>
      </c>
      <c r="P82" s="88" t="s">
        <v>449</v>
      </c>
      <c r="Q82" s="88" t="s">
        <v>450</v>
      </c>
      <c r="R82" s="88" t="s">
        <v>451</v>
      </c>
      <c r="S82" s="88" t="s">
        <v>452</v>
      </c>
      <c r="T82" s="88" t="s">
        <v>86</v>
      </c>
    </row>
    <row r="83" spans="1:21" x14ac:dyDescent="0.2">
      <c r="B83" s="88" t="s">
        <v>166</v>
      </c>
      <c r="C83" s="40">
        <v>680</v>
      </c>
      <c r="D83" s="40">
        <v>270</v>
      </c>
      <c r="E83" s="40">
        <v>495</v>
      </c>
      <c r="F83" s="40">
        <v>110</v>
      </c>
      <c r="G83" s="40">
        <v>120</v>
      </c>
      <c r="H83" s="40">
        <v>280</v>
      </c>
      <c r="I83" s="40">
        <v>130</v>
      </c>
      <c r="J83" s="40">
        <v>310</v>
      </c>
      <c r="K83" s="40">
        <v>75</v>
      </c>
      <c r="L83" s="40">
        <v>30</v>
      </c>
      <c r="M83" s="40">
        <v>105</v>
      </c>
      <c r="N83" s="40">
        <v>670</v>
      </c>
      <c r="O83" s="40">
        <v>240</v>
      </c>
      <c r="P83" s="40">
        <v>0</v>
      </c>
      <c r="Q83" s="40">
        <v>35</v>
      </c>
      <c r="R83" s="40">
        <v>130</v>
      </c>
      <c r="S83" s="40">
        <v>255</v>
      </c>
      <c r="T83" s="40">
        <v>3935</v>
      </c>
    </row>
    <row r="84" spans="1:21" x14ac:dyDescent="0.2">
      <c r="B84" s="88" t="s">
        <v>419</v>
      </c>
      <c r="C84" s="40">
        <v>20</v>
      </c>
      <c r="D84" s="40">
        <v>195</v>
      </c>
      <c r="E84" s="40">
        <v>460</v>
      </c>
      <c r="F84" s="40">
        <v>135</v>
      </c>
      <c r="G84" s="40">
        <v>110</v>
      </c>
      <c r="H84" s="40">
        <v>335</v>
      </c>
      <c r="I84" s="40">
        <v>110</v>
      </c>
      <c r="J84" s="40">
        <v>365</v>
      </c>
      <c r="K84" s="40">
        <v>150</v>
      </c>
      <c r="L84" s="40">
        <v>70</v>
      </c>
      <c r="M84" s="40">
        <v>170</v>
      </c>
      <c r="N84" s="40">
        <v>460</v>
      </c>
      <c r="O84" s="40">
        <v>240</v>
      </c>
      <c r="P84" s="40">
        <v>5</v>
      </c>
      <c r="Q84" s="40">
        <v>50</v>
      </c>
      <c r="R84" s="40">
        <v>185</v>
      </c>
      <c r="S84" s="40">
        <v>320</v>
      </c>
      <c r="T84" s="40">
        <v>3380</v>
      </c>
    </row>
    <row r="85" spans="1:21" x14ac:dyDescent="0.2">
      <c r="B85" s="88" t="s">
        <v>168</v>
      </c>
      <c r="C85" s="84">
        <v>630</v>
      </c>
      <c r="D85" s="84">
        <v>865</v>
      </c>
      <c r="E85" s="84">
        <v>1305</v>
      </c>
      <c r="F85" s="84">
        <v>315</v>
      </c>
      <c r="G85" s="84">
        <v>280</v>
      </c>
      <c r="H85" s="84">
        <v>765</v>
      </c>
      <c r="I85" s="84">
        <v>470</v>
      </c>
      <c r="J85" s="84">
        <v>810</v>
      </c>
      <c r="K85" s="84">
        <v>530</v>
      </c>
      <c r="L85" s="84">
        <v>125</v>
      </c>
      <c r="M85" s="84">
        <v>270</v>
      </c>
      <c r="N85" s="84">
        <v>1595</v>
      </c>
      <c r="O85" s="84">
        <v>755</v>
      </c>
      <c r="P85" s="84">
        <v>5</v>
      </c>
      <c r="Q85" s="84">
        <v>95</v>
      </c>
      <c r="R85" s="84">
        <v>335</v>
      </c>
      <c r="S85" s="84">
        <v>750</v>
      </c>
      <c r="T85" s="84">
        <v>9900</v>
      </c>
    </row>
    <row r="86" spans="1:21" x14ac:dyDescent="0.2">
      <c r="B86" s="88" t="s">
        <v>420</v>
      </c>
      <c r="C86" s="40">
        <v>935</v>
      </c>
      <c r="D86" s="40">
        <v>360</v>
      </c>
      <c r="E86" s="40">
        <v>760</v>
      </c>
      <c r="F86" s="40">
        <v>180</v>
      </c>
      <c r="G86" s="40">
        <v>200</v>
      </c>
      <c r="H86" s="40">
        <v>410</v>
      </c>
      <c r="I86" s="40">
        <v>145</v>
      </c>
      <c r="J86" s="40">
        <v>535</v>
      </c>
      <c r="K86" s="40">
        <v>255</v>
      </c>
      <c r="L86" s="40">
        <v>85</v>
      </c>
      <c r="M86" s="40">
        <v>210</v>
      </c>
      <c r="N86" s="40">
        <v>860</v>
      </c>
      <c r="O86" s="40">
        <v>455</v>
      </c>
      <c r="P86" s="40">
        <v>0</v>
      </c>
      <c r="Q86" s="40">
        <v>70</v>
      </c>
      <c r="R86" s="40">
        <v>190</v>
      </c>
      <c r="S86" s="40">
        <v>465</v>
      </c>
      <c r="T86" s="40">
        <v>6115</v>
      </c>
    </row>
    <row r="87" spans="1:21" x14ac:dyDescent="0.2">
      <c r="B87" s="88" t="s">
        <v>41</v>
      </c>
      <c r="C87" s="40">
        <v>17335</v>
      </c>
      <c r="D87" s="40">
        <v>10770</v>
      </c>
      <c r="E87" s="40">
        <v>20950</v>
      </c>
      <c r="F87" s="40">
        <v>4645</v>
      </c>
      <c r="G87" s="40">
        <v>5160</v>
      </c>
      <c r="H87" s="40">
        <v>13385</v>
      </c>
      <c r="I87" s="40">
        <v>5920</v>
      </c>
      <c r="J87" s="40">
        <v>14435</v>
      </c>
      <c r="K87" s="40">
        <v>10525</v>
      </c>
      <c r="L87" s="40">
        <v>3315</v>
      </c>
      <c r="M87" s="40">
        <v>5875</v>
      </c>
      <c r="N87" s="40">
        <v>30845</v>
      </c>
      <c r="O87" s="40">
        <v>13260</v>
      </c>
      <c r="P87" s="40">
        <v>55</v>
      </c>
      <c r="Q87" s="40">
        <v>2020</v>
      </c>
      <c r="R87" s="40">
        <v>6585</v>
      </c>
      <c r="S87" s="40">
        <v>12615</v>
      </c>
      <c r="T87" s="40">
        <v>177695</v>
      </c>
    </row>
    <row r="90" spans="1:21" x14ac:dyDescent="0.2">
      <c r="A90" s="12">
        <v>2.15</v>
      </c>
      <c r="B90" s="101" t="s">
        <v>453</v>
      </c>
    </row>
    <row r="91" spans="1:21" ht="15" x14ac:dyDescent="0.25">
      <c r="B91" s="16" t="s">
        <v>454</v>
      </c>
    </row>
    <row r="92" spans="1:21" x14ac:dyDescent="0.2">
      <c r="B92" s="88"/>
      <c r="C92" s="88">
        <v>2004</v>
      </c>
      <c r="D92" s="88">
        <v>2005</v>
      </c>
      <c r="E92" s="88">
        <v>2006</v>
      </c>
      <c r="F92" s="88">
        <v>2007</v>
      </c>
      <c r="G92" s="88">
        <v>2008</v>
      </c>
      <c r="H92" s="88">
        <v>2009</v>
      </c>
      <c r="I92" s="88">
        <v>2010</v>
      </c>
      <c r="J92" s="88">
        <v>2011</v>
      </c>
      <c r="K92" s="88">
        <v>2012</v>
      </c>
      <c r="L92" s="88">
        <v>2013</v>
      </c>
      <c r="M92" s="88">
        <v>2014</v>
      </c>
      <c r="N92" s="88">
        <v>2015</v>
      </c>
      <c r="O92" s="88">
        <v>2016</v>
      </c>
      <c r="P92" s="88">
        <v>2017</v>
      </c>
      <c r="Q92" s="88">
        <v>2018</v>
      </c>
      <c r="R92" s="88">
        <v>2019</v>
      </c>
      <c r="S92" s="88" t="s">
        <v>455</v>
      </c>
      <c r="T92" s="88" t="s">
        <v>456</v>
      </c>
      <c r="U92" s="88"/>
    </row>
    <row r="93" spans="1:21" x14ac:dyDescent="0.2">
      <c r="B93" s="88"/>
      <c r="C93" s="88" t="s">
        <v>344</v>
      </c>
      <c r="D93" s="88" t="s">
        <v>344</v>
      </c>
      <c r="E93" s="88" t="s">
        <v>344</v>
      </c>
      <c r="F93" s="88" t="s">
        <v>344</v>
      </c>
      <c r="G93" s="88" t="s">
        <v>344</v>
      </c>
      <c r="H93" s="88" t="s">
        <v>344</v>
      </c>
      <c r="I93" s="88" t="s">
        <v>344</v>
      </c>
      <c r="J93" s="88" t="s">
        <v>344</v>
      </c>
      <c r="K93" s="88" t="s">
        <v>344</v>
      </c>
      <c r="L93" s="88" t="s">
        <v>344</v>
      </c>
      <c r="M93" s="88" t="s">
        <v>344</v>
      </c>
      <c r="N93" s="88" t="s">
        <v>344</v>
      </c>
      <c r="O93" s="88" t="s">
        <v>344</v>
      </c>
      <c r="P93" s="88" t="s">
        <v>344</v>
      </c>
      <c r="Q93" s="88" t="s">
        <v>344</v>
      </c>
      <c r="R93" s="88" t="s">
        <v>344</v>
      </c>
      <c r="S93" s="88" t="s">
        <v>344</v>
      </c>
      <c r="T93" s="88" t="s">
        <v>457</v>
      </c>
      <c r="U93" s="88" t="s">
        <v>344</v>
      </c>
    </row>
    <row r="94" spans="1:21" x14ac:dyDescent="0.2">
      <c r="B94" s="88" t="s">
        <v>166</v>
      </c>
      <c r="C94" s="40">
        <v>51600</v>
      </c>
      <c r="D94" s="40">
        <v>53100</v>
      </c>
      <c r="E94" s="40">
        <v>55900</v>
      </c>
      <c r="F94" s="40">
        <v>55300</v>
      </c>
      <c r="G94" s="40">
        <v>56100</v>
      </c>
      <c r="H94" s="40">
        <v>54100</v>
      </c>
      <c r="I94" s="40">
        <v>53500</v>
      </c>
      <c r="J94" s="40">
        <v>53100</v>
      </c>
      <c r="K94" s="40">
        <v>54800</v>
      </c>
      <c r="L94" s="40">
        <v>53700</v>
      </c>
      <c r="M94" s="40">
        <v>52100</v>
      </c>
      <c r="N94" s="40">
        <v>54500</v>
      </c>
      <c r="O94" s="40">
        <v>57300</v>
      </c>
      <c r="P94" s="40">
        <v>54100</v>
      </c>
      <c r="Q94" s="40">
        <v>55100</v>
      </c>
      <c r="R94" s="40">
        <v>54700</v>
      </c>
      <c r="S94" s="40">
        <v>-400</v>
      </c>
      <c r="T94" s="40">
        <v>1.4</v>
      </c>
      <c r="U94" s="40">
        <v>600</v>
      </c>
    </row>
    <row r="95" spans="1:21" x14ac:dyDescent="0.2">
      <c r="B95" s="88" t="s">
        <v>419</v>
      </c>
      <c r="C95" s="40">
        <v>62500</v>
      </c>
      <c r="D95" s="40">
        <v>66200</v>
      </c>
      <c r="E95" s="40">
        <v>66100</v>
      </c>
      <c r="F95" s="40">
        <v>66200</v>
      </c>
      <c r="G95" s="40">
        <v>66600</v>
      </c>
      <c r="H95" s="40">
        <v>65900</v>
      </c>
      <c r="I95" s="40">
        <v>67500</v>
      </c>
      <c r="J95" s="40">
        <v>65000</v>
      </c>
      <c r="K95" s="40">
        <v>64100</v>
      </c>
      <c r="L95" s="40">
        <v>60800</v>
      </c>
      <c r="M95" s="40">
        <v>61900</v>
      </c>
      <c r="N95" s="40">
        <v>63500</v>
      </c>
      <c r="O95" s="40">
        <v>65700</v>
      </c>
      <c r="P95" s="40">
        <v>65500</v>
      </c>
      <c r="Q95" s="40">
        <v>66200</v>
      </c>
      <c r="R95" s="40">
        <v>66900</v>
      </c>
      <c r="S95" s="40">
        <v>800</v>
      </c>
      <c r="T95" s="40">
        <v>0.4</v>
      </c>
      <c r="U95" s="40">
        <v>1100</v>
      </c>
    </row>
    <row r="96" spans="1:21" x14ac:dyDescent="0.2">
      <c r="B96" s="88" t="s">
        <v>168</v>
      </c>
      <c r="C96" s="84">
        <v>174700</v>
      </c>
      <c r="D96" s="84">
        <v>175000</v>
      </c>
      <c r="E96" s="84">
        <v>174200</v>
      </c>
      <c r="F96" s="84">
        <v>174100</v>
      </c>
      <c r="G96" s="84">
        <v>174200</v>
      </c>
      <c r="H96" s="84">
        <v>169700</v>
      </c>
      <c r="I96" s="84">
        <v>170100</v>
      </c>
      <c r="J96" s="84">
        <v>167300</v>
      </c>
      <c r="K96" s="84">
        <v>167100</v>
      </c>
      <c r="L96" s="84">
        <v>166200</v>
      </c>
      <c r="M96" s="84">
        <v>174000</v>
      </c>
      <c r="N96" s="84">
        <v>171900</v>
      </c>
      <c r="O96" s="84">
        <v>174600</v>
      </c>
      <c r="P96" s="84">
        <v>174800</v>
      </c>
      <c r="Q96" s="84">
        <v>176700</v>
      </c>
      <c r="R96" s="84">
        <v>172000</v>
      </c>
      <c r="S96" s="84">
        <v>-4800</v>
      </c>
      <c r="T96" s="84">
        <v>2.5</v>
      </c>
      <c r="U96" s="84">
        <v>2300</v>
      </c>
    </row>
    <row r="97" spans="2:21" x14ac:dyDescent="0.2">
      <c r="B97" s="88" t="s">
        <v>169</v>
      </c>
      <c r="C97" s="40">
        <v>65600</v>
      </c>
      <c r="D97" s="40">
        <v>65800</v>
      </c>
      <c r="E97" s="40">
        <v>67900</v>
      </c>
      <c r="F97" s="40">
        <v>67600</v>
      </c>
      <c r="G97" s="40">
        <v>69300</v>
      </c>
      <c r="H97" s="40">
        <v>68700</v>
      </c>
      <c r="I97" s="40">
        <v>67300</v>
      </c>
      <c r="J97" s="40">
        <v>69000</v>
      </c>
      <c r="K97" s="40">
        <v>69300</v>
      </c>
      <c r="L97" s="40">
        <v>70200</v>
      </c>
      <c r="M97" s="40">
        <v>71900</v>
      </c>
      <c r="N97" s="40">
        <v>74400</v>
      </c>
      <c r="O97" s="40">
        <v>73200</v>
      </c>
      <c r="P97" s="40">
        <v>73000</v>
      </c>
      <c r="Q97" s="40">
        <v>73800</v>
      </c>
      <c r="R97" s="40">
        <v>80200</v>
      </c>
      <c r="S97" s="40">
        <v>6400</v>
      </c>
      <c r="T97" s="40">
        <v>8</v>
      </c>
      <c r="U97" s="40">
        <v>11600</v>
      </c>
    </row>
    <row r="100" spans="2:21" ht="15" x14ac:dyDescent="0.25">
      <c r="B100" s="16" t="s">
        <v>458</v>
      </c>
    </row>
    <row r="101" spans="2:21" x14ac:dyDescent="0.2">
      <c r="B101" s="120"/>
      <c r="C101" s="120">
        <v>2004</v>
      </c>
      <c r="D101" s="120">
        <v>2005</v>
      </c>
      <c r="E101" s="120">
        <v>2006</v>
      </c>
      <c r="F101" s="120">
        <v>2007</v>
      </c>
      <c r="G101" s="120">
        <v>2008</v>
      </c>
      <c r="H101" s="120">
        <v>2009</v>
      </c>
      <c r="I101" s="120">
        <v>2010</v>
      </c>
      <c r="J101" s="120">
        <v>2011</v>
      </c>
      <c r="K101" s="120">
        <v>2012</v>
      </c>
      <c r="L101" s="120">
        <v>2013</v>
      </c>
      <c r="M101" s="120">
        <v>2014</v>
      </c>
      <c r="N101" s="120">
        <v>2015</v>
      </c>
      <c r="O101" s="120">
        <v>2016</v>
      </c>
      <c r="P101" s="120">
        <v>2017</v>
      </c>
      <c r="Q101" s="120">
        <v>2018</v>
      </c>
      <c r="R101" s="120">
        <v>2019</v>
      </c>
      <c r="S101" s="120" t="s">
        <v>455</v>
      </c>
      <c r="T101" s="642" t="s">
        <v>456</v>
      </c>
      <c r="U101" s="643"/>
    </row>
    <row r="102" spans="2:21" x14ac:dyDescent="0.2">
      <c r="B102" s="120"/>
      <c r="C102" s="120" t="s">
        <v>344</v>
      </c>
      <c r="D102" s="120" t="s">
        <v>344</v>
      </c>
      <c r="E102" s="120" t="s">
        <v>344</v>
      </c>
      <c r="F102" s="120" t="s">
        <v>344</v>
      </c>
      <c r="G102" s="120" t="s">
        <v>344</v>
      </c>
      <c r="H102" s="120" t="s">
        <v>344</v>
      </c>
      <c r="I102" s="120" t="s">
        <v>344</v>
      </c>
      <c r="J102" s="120" t="s">
        <v>344</v>
      </c>
      <c r="K102" s="120" t="s">
        <v>344</v>
      </c>
      <c r="L102" s="120" t="s">
        <v>344</v>
      </c>
      <c r="M102" s="120" t="s">
        <v>344</v>
      </c>
      <c r="N102" s="120" t="s">
        <v>344</v>
      </c>
      <c r="O102" s="120" t="s">
        <v>344</v>
      </c>
      <c r="P102" s="120" t="s">
        <v>344</v>
      </c>
      <c r="Q102" s="120" t="s">
        <v>344</v>
      </c>
      <c r="R102" s="120" t="s">
        <v>344</v>
      </c>
      <c r="S102" s="120" t="s">
        <v>344</v>
      </c>
      <c r="T102" s="120" t="s">
        <v>457</v>
      </c>
      <c r="U102" s="120" t="s">
        <v>344</v>
      </c>
    </row>
    <row r="103" spans="2:21" x14ac:dyDescent="0.2">
      <c r="B103" s="88" t="s">
        <v>166</v>
      </c>
      <c r="C103" s="40">
        <v>15400</v>
      </c>
      <c r="D103" s="40">
        <v>14500</v>
      </c>
      <c r="E103" s="40">
        <v>12500</v>
      </c>
      <c r="F103" s="40">
        <v>13300</v>
      </c>
      <c r="G103" s="40">
        <v>13300</v>
      </c>
      <c r="H103" s="40">
        <v>14900</v>
      </c>
      <c r="I103" s="40">
        <v>15200</v>
      </c>
      <c r="J103" s="40">
        <v>16000</v>
      </c>
      <c r="K103" s="40">
        <v>14800</v>
      </c>
      <c r="L103" s="40">
        <v>14400</v>
      </c>
      <c r="M103" s="40">
        <v>16500</v>
      </c>
      <c r="N103" s="40">
        <v>15100</v>
      </c>
      <c r="O103" s="40">
        <v>13300</v>
      </c>
      <c r="P103" s="40">
        <v>14400</v>
      </c>
      <c r="Q103" s="40">
        <v>14400</v>
      </c>
      <c r="R103" s="40">
        <v>15500</v>
      </c>
      <c r="S103" s="40">
        <v>1000</v>
      </c>
      <c r="T103" s="40">
        <v>1.4</v>
      </c>
      <c r="U103" s="40">
        <v>600</v>
      </c>
    </row>
    <row r="104" spans="2:21" x14ac:dyDescent="0.2">
      <c r="B104" s="88" t="s">
        <v>419</v>
      </c>
      <c r="C104" s="40">
        <v>25100</v>
      </c>
      <c r="D104" s="40">
        <v>23800</v>
      </c>
      <c r="E104" s="40">
        <v>23300</v>
      </c>
      <c r="F104" s="40">
        <v>23200</v>
      </c>
      <c r="G104" s="40">
        <v>24700</v>
      </c>
      <c r="H104" s="40">
        <v>24500</v>
      </c>
      <c r="I104" s="40">
        <v>22700</v>
      </c>
      <c r="J104" s="40">
        <v>24500</v>
      </c>
      <c r="K104" s="40">
        <v>26900</v>
      </c>
      <c r="L104" s="40">
        <v>28600</v>
      </c>
      <c r="M104" s="40">
        <v>30100</v>
      </c>
      <c r="N104" s="40">
        <v>28900</v>
      </c>
      <c r="O104" s="40">
        <v>27400</v>
      </c>
      <c r="P104" s="40">
        <v>31300</v>
      </c>
      <c r="Q104" s="40">
        <v>27200</v>
      </c>
      <c r="R104" s="40">
        <v>25900</v>
      </c>
      <c r="S104" s="40">
        <v>-1300</v>
      </c>
      <c r="T104" s="40">
        <v>1.5</v>
      </c>
      <c r="U104" s="40">
        <v>1500</v>
      </c>
    </row>
    <row r="105" spans="2:21" x14ac:dyDescent="0.2">
      <c r="B105" s="88" t="s">
        <v>168</v>
      </c>
      <c r="C105" s="84">
        <v>47900</v>
      </c>
      <c r="D105" s="84">
        <v>51000</v>
      </c>
      <c r="E105" s="84">
        <v>50500</v>
      </c>
      <c r="F105" s="84">
        <v>49400</v>
      </c>
      <c r="G105" s="84">
        <v>47500</v>
      </c>
      <c r="H105" s="84">
        <v>50200</v>
      </c>
      <c r="I105" s="84">
        <v>48800</v>
      </c>
      <c r="J105" s="84">
        <v>52800</v>
      </c>
      <c r="K105" s="84">
        <v>52700</v>
      </c>
      <c r="L105" s="84">
        <v>53400</v>
      </c>
      <c r="M105" s="84">
        <v>48600</v>
      </c>
      <c r="N105" s="84">
        <v>47700</v>
      </c>
      <c r="O105" s="84">
        <v>56200</v>
      </c>
      <c r="P105" s="84">
        <v>51000</v>
      </c>
      <c r="Q105" s="84">
        <v>49600</v>
      </c>
      <c r="R105" s="84">
        <v>53100</v>
      </c>
      <c r="S105" s="84">
        <v>3500</v>
      </c>
      <c r="T105" s="84">
        <v>1.6</v>
      </c>
      <c r="U105" s="84">
        <v>3000</v>
      </c>
    </row>
    <row r="106" spans="2:21" x14ac:dyDescent="0.2">
      <c r="B106" s="88" t="s">
        <v>169</v>
      </c>
      <c r="C106" s="40">
        <v>18300</v>
      </c>
      <c r="D106" s="40">
        <v>18900</v>
      </c>
      <c r="E106" s="40">
        <v>17000</v>
      </c>
      <c r="F106" s="40">
        <v>18700</v>
      </c>
      <c r="G106" s="40">
        <v>18000</v>
      </c>
      <c r="H106" s="40">
        <v>19000</v>
      </c>
      <c r="I106" s="40">
        <v>19300</v>
      </c>
      <c r="J106" s="40">
        <v>18700</v>
      </c>
      <c r="K106" s="40">
        <v>17100</v>
      </c>
      <c r="L106" s="40">
        <v>17100</v>
      </c>
      <c r="M106" s="40">
        <v>17600</v>
      </c>
      <c r="N106" s="40">
        <v>15400</v>
      </c>
      <c r="O106" s="40">
        <v>17700</v>
      </c>
      <c r="P106" s="40">
        <v>18000</v>
      </c>
      <c r="Q106" s="40">
        <v>17100</v>
      </c>
      <c r="R106" s="40">
        <v>13200</v>
      </c>
      <c r="S106" s="40">
        <v>-3900</v>
      </c>
      <c r="T106" s="40">
        <v>-6.8</v>
      </c>
      <c r="U106" s="40">
        <v>-5800</v>
      </c>
    </row>
    <row r="109" spans="2:21" ht="15" x14ac:dyDescent="0.25">
      <c r="B109" s="16" t="s">
        <v>459</v>
      </c>
    </row>
    <row r="110" spans="2:21" x14ac:dyDescent="0.2">
      <c r="B110" s="120"/>
      <c r="C110" s="120">
        <v>2004</v>
      </c>
      <c r="D110" s="120">
        <v>2005</v>
      </c>
      <c r="E110" s="120">
        <v>2006</v>
      </c>
      <c r="F110" s="120">
        <v>2007</v>
      </c>
      <c r="G110" s="120">
        <v>2008</v>
      </c>
      <c r="H110" s="120">
        <v>2009</v>
      </c>
      <c r="I110" s="120">
        <v>2010</v>
      </c>
      <c r="J110" s="120">
        <v>2011</v>
      </c>
      <c r="K110" s="120">
        <v>2012</v>
      </c>
      <c r="L110" s="120">
        <v>2013</v>
      </c>
      <c r="M110" s="120">
        <v>2014</v>
      </c>
      <c r="N110" s="120">
        <v>2015</v>
      </c>
      <c r="O110" s="120">
        <v>2016</v>
      </c>
      <c r="P110" s="120">
        <v>2017</v>
      </c>
      <c r="Q110" s="120">
        <v>2018</v>
      </c>
      <c r="R110" s="120">
        <v>2019</v>
      </c>
      <c r="S110" s="120" t="s">
        <v>455</v>
      </c>
      <c r="T110" s="642" t="s">
        <v>456</v>
      </c>
      <c r="U110" s="643"/>
    </row>
    <row r="111" spans="2:21" x14ac:dyDescent="0.2">
      <c r="B111" s="120" t="s">
        <v>460</v>
      </c>
      <c r="C111" s="120" t="s">
        <v>344</v>
      </c>
      <c r="D111" s="120" t="s">
        <v>344</v>
      </c>
      <c r="E111" s="120" t="s">
        <v>344</v>
      </c>
      <c r="F111" s="120" t="s">
        <v>344</v>
      </c>
      <c r="G111" s="120" t="s">
        <v>344</v>
      </c>
      <c r="H111" s="120" t="s">
        <v>344</v>
      </c>
      <c r="I111" s="120" t="s">
        <v>344</v>
      </c>
      <c r="J111" s="120" t="s">
        <v>344</v>
      </c>
      <c r="K111" s="120" t="s">
        <v>344</v>
      </c>
      <c r="L111" s="120" t="s">
        <v>344</v>
      </c>
      <c r="M111" s="120" t="s">
        <v>344</v>
      </c>
      <c r="N111" s="120" t="s">
        <v>344</v>
      </c>
      <c r="O111" s="120" t="s">
        <v>344</v>
      </c>
      <c r="P111" s="120" t="s">
        <v>344</v>
      </c>
      <c r="Q111" s="120" t="s">
        <v>344</v>
      </c>
      <c r="R111" s="120" t="s">
        <v>344</v>
      </c>
      <c r="S111" s="120" t="s">
        <v>344</v>
      </c>
      <c r="T111" s="120" t="s">
        <v>457</v>
      </c>
      <c r="U111" s="120" t="s">
        <v>344</v>
      </c>
    </row>
    <row r="112" spans="2:21" x14ac:dyDescent="0.2">
      <c r="B112" s="88" t="s">
        <v>166</v>
      </c>
      <c r="C112" s="40">
        <v>24100</v>
      </c>
      <c r="D112" s="40">
        <v>24800</v>
      </c>
      <c r="E112" s="40">
        <v>26500</v>
      </c>
      <c r="F112" s="40">
        <v>25900</v>
      </c>
      <c r="G112" s="40">
        <v>26600</v>
      </c>
      <c r="H112" s="40">
        <v>26000</v>
      </c>
      <c r="I112" s="40">
        <v>26100</v>
      </c>
      <c r="J112" s="40">
        <v>25300</v>
      </c>
      <c r="K112" s="40">
        <v>26700</v>
      </c>
      <c r="L112" s="40">
        <v>25900</v>
      </c>
      <c r="M112" s="40">
        <v>24900</v>
      </c>
      <c r="N112" s="40">
        <v>26200</v>
      </c>
      <c r="O112" s="40">
        <v>27100</v>
      </c>
      <c r="P112" s="40">
        <v>26000</v>
      </c>
      <c r="Q112" s="40">
        <v>27100</v>
      </c>
      <c r="R112" s="40">
        <v>25700</v>
      </c>
      <c r="S112" s="40">
        <v>-1400</v>
      </c>
      <c r="T112" s="40">
        <v>1.6</v>
      </c>
      <c r="U112" s="40">
        <v>-300</v>
      </c>
    </row>
    <row r="113" spans="2:21" x14ac:dyDescent="0.2">
      <c r="B113" s="88" t="s">
        <v>419</v>
      </c>
      <c r="C113" s="40">
        <v>30800</v>
      </c>
      <c r="D113" s="40">
        <v>31900</v>
      </c>
      <c r="E113" s="40">
        <v>32000</v>
      </c>
      <c r="F113" s="40">
        <v>32900</v>
      </c>
      <c r="G113" s="40">
        <v>33100</v>
      </c>
      <c r="H113" s="40">
        <v>32300</v>
      </c>
      <c r="I113" s="40">
        <v>34000</v>
      </c>
      <c r="J113" s="40">
        <v>31500</v>
      </c>
      <c r="K113" s="40">
        <v>32800</v>
      </c>
      <c r="L113" s="40">
        <v>31000</v>
      </c>
      <c r="M113" s="40">
        <v>32100</v>
      </c>
      <c r="N113" s="40">
        <v>31400</v>
      </c>
      <c r="O113" s="40">
        <v>35600</v>
      </c>
      <c r="P113" s="40">
        <v>34100</v>
      </c>
      <c r="Q113" s="40">
        <v>33600</v>
      </c>
      <c r="R113" s="40">
        <v>33300</v>
      </c>
      <c r="S113" s="40">
        <v>-300</v>
      </c>
      <c r="T113" s="40">
        <v>2.7</v>
      </c>
      <c r="U113" s="40">
        <v>1000</v>
      </c>
    </row>
    <row r="114" spans="2:21" x14ac:dyDescent="0.2">
      <c r="B114" s="88" t="s">
        <v>168</v>
      </c>
      <c r="C114" s="84">
        <v>85000</v>
      </c>
      <c r="D114" s="84">
        <v>83000</v>
      </c>
      <c r="E114" s="84">
        <v>83400</v>
      </c>
      <c r="F114" s="84">
        <v>82700</v>
      </c>
      <c r="G114" s="84">
        <v>84000</v>
      </c>
      <c r="H114" s="84">
        <v>81900</v>
      </c>
      <c r="I114" s="84">
        <v>82400</v>
      </c>
      <c r="J114" s="84">
        <v>81100</v>
      </c>
      <c r="K114" s="84">
        <v>79300</v>
      </c>
      <c r="L114" s="84">
        <v>80900</v>
      </c>
      <c r="M114" s="84">
        <v>85000</v>
      </c>
      <c r="N114" s="84">
        <v>84500</v>
      </c>
      <c r="O114" s="84">
        <v>85600</v>
      </c>
      <c r="P114" s="84">
        <v>83500</v>
      </c>
      <c r="Q114" s="84">
        <v>85200</v>
      </c>
      <c r="R114" s="84">
        <v>85300</v>
      </c>
      <c r="S114" s="84">
        <v>100</v>
      </c>
      <c r="T114" s="84">
        <v>3.7</v>
      </c>
      <c r="U114" s="84">
        <v>3400</v>
      </c>
    </row>
    <row r="115" spans="2:21" x14ac:dyDescent="0.2">
      <c r="B115" s="88" t="s">
        <v>169</v>
      </c>
      <c r="C115" s="40">
        <v>30000</v>
      </c>
      <c r="D115" s="40">
        <v>30500</v>
      </c>
      <c r="E115" s="40">
        <v>31800</v>
      </c>
      <c r="F115" s="40">
        <v>32000</v>
      </c>
      <c r="G115" s="40">
        <v>32800</v>
      </c>
      <c r="H115" s="40">
        <v>33500</v>
      </c>
      <c r="I115" s="40">
        <v>31800</v>
      </c>
      <c r="J115" s="40">
        <v>32100</v>
      </c>
      <c r="K115" s="40">
        <v>32300</v>
      </c>
      <c r="L115" s="40">
        <v>33000</v>
      </c>
      <c r="M115" s="40">
        <v>34100</v>
      </c>
      <c r="N115" s="40">
        <v>36400</v>
      </c>
      <c r="O115" s="40">
        <v>36400</v>
      </c>
      <c r="P115" s="40">
        <v>34000</v>
      </c>
      <c r="Q115" s="40">
        <v>35200</v>
      </c>
      <c r="R115" s="40">
        <v>37700</v>
      </c>
      <c r="S115" s="40">
        <v>2500</v>
      </c>
      <c r="T115" s="40">
        <v>5.8</v>
      </c>
      <c r="U115" s="40">
        <v>4200</v>
      </c>
    </row>
    <row r="118" spans="2:21" ht="15" x14ac:dyDescent="0.25">
      <c r="B118" s="16" t="s">
        <v>461</v>
      </c>
    </row>
    <row r="119" spans="2:21" x14ac:dyDescent="0.2">
      <c r="B119" s="120"/>
      <c r="C119" s="120">
        <v>2004</v>
      </c>
      <c r="D119" s="120">
        <v>2005</v>
      </c>
      <c r="E119" s="120">
        <v>2006</v>
      </c>
      <c r="F119" s="120">
        <v>2007</v>
      </c>
      <c r="G119" s="120">
        <v>2008</v>
      </c>
      <c r="H119" s="120">
        <v>2009</v>
      </c>
      <c r="I119" s="120">
        <v>2010</v>
      </c>
      <c r="J119" s="120">
        <v>2011</v>
      </c>
      <c r="K119" s="120">
        <v>2012</v>
      </c>
      <c r="L119" s="120">
        <v>2013</v>
      </c>
      <c r="M119" s="120">
        <v>2014</v>
      </c>
      <c r="N119" s="120">
        <v>2015</v>
      </c>
      <c r="O119" s="120">
        <v>2016</v>
      </c>
      <c r="P119" s="120">
        <v>2017</v>
      </c>
      <c r="Q119" s="120">
        <v>2018</v>
      </c>
      <c r="R119" s="120">
        <v>2019</v>
      </c>
      <c r="S119" s="120" t="s">
        <v>455</v>
      </c>
      <c r="T119" s="642" t="s">
        <v>456</v>
      </c>
      <c r="U119" s="643"/>
    </row>
    <row r="120" spans="2:21" x14ac:dyDescent="0.2">
      <c r="B120" s="120" t="s">
        <v>460</v>
      </c>
      <c r="C120" s="120" t="s">
        <v>344</v>
      </c>
      <c r="D120" s="120" t="s">
        <v>344</v>
      </c>
      <c r="E120" s="120" t="s">
        <v>344</v>
      </c>
      <c r="F120" s="120" t="s">
        <v>344</v>
      </c>
      <c r="G120" s="120" t="s">
        <v>344</v>
      </c>
      <c r="H120" s="120" t="s">
        <v>344</v>
      </c>
      <c r="I120" s="120" t="s">
        <v>344</v>
      </c>
      <c r="J120" s="120" t="s">
        <v>344</v>
      </c>
      <c r="K120" s="120" t="s">
        <v>344</v>
      </c>
      <c r="L120" s="120" t="s">
        <v>344</v>
      </c>
      <c r="M120" s="120" t="s">
        <v>344</v>
      </c>
      <c r="N120" s="120" t="s">
        <v>344</v>
      </c>
      <c r="O120" s="120" t="s">
        <v>344</v>
      </c>
      <c r="P120" s="120" t="s">
        <v>344</v>
      </c>
      <c r="Q120" s="120" t="s">
        <v>344</v>
      </c>
      <c r="R120" s="120" t="s">
        <v>344</v>
      </c>
      <c r="S120" s="120" t="s">
        <v>344</v>
      </c>
      <c r="T120" s="120" t="s">
        <v>457</v>
      </c>
      <c r="U120" s="120" t="s">
        <v>344</v>
      </c>
    </row>
    <row r="121" spans="2:21" x14ac:dyDescent="0.2">
      <c r="B121" s="88" t="s">
        <v>166</v>
      </c>
      <c r="C121" s="40">
        <v>27500</v>
      </c>
      <c r="D121" s="40">
        <v>28300</v>
      </c>
      <c r="E121" s="40">
        <v>29500</v>
      </c>
      <c r="F121" s="40">
        <v>29400</v>
      </c>
      <c r="G121" s="40">
        <v>29500</v>
      </c>
      <c r="H121" s="40">
        <v>28100</v>
      </c>
      <c r="I121" s="40">
        <v>27400</v>
      </c>
      <c r="J121" s="40">
        <v>27700</v>
      </c>
      <c r="K121" s="40">
        <v>28100</v>
      </c>
      <c r="L121" s="40">
        <v>27700</v>
      </c>
      <c r="M121" s="40">
        <v>27200</v>
      </c>
      <c r="N121" s="40">
        <v>28300</v>
      </c>
      <c r="O121" s="40">
        <v>30300</v>
      </c>
      <c r="P121" s="40">
        <v>28100</v>
      </c>
      <c r="Q121" s="40">
        <v>28000</v>
      </c>
      <c r="R121" s="40">
        <v>29000</v>
      </c>
      <c r="S121" s="40">
        <v>1000</v>
      </c>
      <c r="T121" s="40">
        <v>1.2</v>
      </c>
      <c r="U121" s="40">
        <v>-100</v>
      </c>
    </row>
    <row r="122" spans="2:21" x14ac:dyDescent="0.2">
      <c r="B122" s="88" t="s">
        <v>419</v>
      </c>
      <c r="C122" s="40">
        <v>31700</v>
      </c>
      <c r="D122" s="40">
        <v>34300</v>
      </c>
      <c r="E122" s="40">
        <v>34000</v>
      </c>
      <c r="F122" s="40">
        <v>33300</v>
      </c>
      <c r="G122" s="40">
        <v>33500</v>
      </c>
      <c r="H122" s="40">
        <v>33500</v>
      </c>
      <c r="I122" s="40">
        <v>33500</v>
      </c>
      <c r="J122" s="40">
        <v>33500</v>
      </c>
      <c r="K122" s="40">
        <v>31300</v>
      </c>
      <c r="L122" s="40">
        <v>29800</v>
      </c>
      <c r="M122" s="40">
        <v>29800</v>
      </c>
      <c r="N122" s="40">
        <v>32100</v>
      </c>
      <c r="O122" s="40">
        <v>30100</v>
      </c>
      <c r="P122" s="40">
        <v>31400</v>
      </c>
      <c r="Q122" s="40">
        <v>32500</v>
      </c>
      <c r="R122" s="40">
        <v>33600</v>
      </c>
      <c r="S122" s="40">
        <v>1100</v>
      </c>
      <c r="T122" s="40">
        <v>-2.2000000000000002</v>
      </c>
      <c r="U122" s="40">
        <v>-1000</v>
      </c>
    </row>
    <row r="123" spans="2:21" x14ac:dyDescent="0.2">
      <c r="B123" s="88" t="s">
        <v>168</v>
      </c>
      <c r="C123" s="84">
        <v>89700</v>
      </c>
      <c r="D123" s="84">
        <v>92000</v>
      </c>
      <c r="E123" s="84">
        <v>90800</v>
      </c>
      <c r="F123" s="84">
        <v>91400</v>
      </c>
      <c r="G123" s="84">
        <v>90100</v>
      </c>
      <c r="H123" s="84">
        <v>87800</v>
      </c>
      <c r="I123" s="84">
        <v>87600</v>
      </c>
      <c r="J123" s="84">
        <v>86200</v>
      </c>
      <c r="K123" s="84">
        <v>87900</v>
      </c>
      <c r="L123" s="84">
        <v>85400</v>
      </c>
      <c r="M123" s="84">
        <v>89100</v>
      </c>
      <c r="N123" s="84">
        <v>87400</v>
      </c>
      <c r="O123" s="84">
        <v>89000</v>
      </c>
      <c r="P123" s="84">
        <v>91300</v>
      </c>
      <c r="Q123" s="84">
        <v>91600</v>
      </c>
      <c r="R123" s="84">
        <v>86700</v>
      </c>
      <c r="S123" s="84">
        <v>-4800</v>
      </c>
      <c r="T123" s="84">
        <v>1.3</v>
      </c>
      <c r="U123" s="84">
        <v>3800</v>
      </c>
    </row>
    <row r="124" spans="2:21" x14ac:dyDescent="0.2">
      <c r="B124" s="88" t="s">
        <v>169</v>
      </c>
      <c r="C124" s="40">
        <v>35500</v>
      </c>
      <c r="D124" s="40">
        <v>35300</v>
      </c>
      <c r="E124" s="40">
        <v>36100</v>
      </c>
      <c r="F124" s="40">
        <v>35600</v>
      </c>
      <c r="G124" s="40">
        <v>36500</v>
      </c>
      <c r="H124" s="40">
        <v>35200</v>
      </c>
      <c r="I124" s="40">
        <v>35500</v>
      </c>
      <c r="J124" s="40">
        <v>36900</v>
      </c>
      <c r="K124" s="40">
        <v>37000</v>
      </c>
      <c r="L124" s="40">
        <v>37200</v>
      </c>
      <c r="M124" s="40">
        <v>37700</v>
      </c>
      <c r="N124" s="40">
        <v>38000</v>
      </c>
      <c r="O124" s="40">
        <v>36700</v>
      </c>
      <c r="P124" s="40">
        <v>39000</v>
      </c>
      <c r="Q124" s="40">
        <v>38600</v>
      </c>
      <c r="R124" s="40">
        <v>42500</v>
      </c>
      <c r="S124" s="40">
        <v>4000</v>
      </c>
      <c r="T124" s="40">
        <v>10.3</v>
      </c>
      <c r="U124" s="40">
        <v>3400</v>
      </c>
    </row>
    <row r="127" spans="2:21" ht="15" x14ac:dyDescent="0.25">
      <c r="B127" s="16" t="s">
        <v>462</v>
      </c>
    </row>
    <row r="128" spans="2:21" x14ac:dyDescent="0.2">
      <c r="B128" s="120"/>
      <c r="C128" s="120">
        <v>2004</v>
      </c>
      <c r="D128" s="120">
        <v>2005</v>
      </c>
      <c r="E128" s="120">
        <v>2006</v>
      </c>
      <c r="F128" s="120">
        <v>2007</v>
      </c>
      <c r="G128" s="120">
        <v>2008</v>
      </c>
      <c r="H128" s="120">
        <v>2009</v>
      </c>
      <c r="I128" s="120">
        <v>2010</v>
      </c>
      <c r="J128" s="120">
        <v>2011</v>
      </c>
      <c r="K128" s="120">
        <v>2012</v>
      </c>
      <c r="L128" s="120">
        <v>2013</v>
      </c>
      <c r="M128" s="120">
        <v>2014</v>
      </c>
      <c r="N128" s="120">
        <v>2015</v>
      </c>
      <c r="O128" s="120">
        <v>2016</v>
      </c>
      <c r="P128" s="120">
        <v>2017</v>
      </c>
      <c r="Q128" s="120">
        <v>2018</v>
      </c>
      <c r="R128" s="120">
        <v>2019</v>
      </c>
      <c r="S128" s="120" t="s">
        <v>455</v>
      </c>
      <c r="T128" s="642" t="s">
        <v>456</v>
      </c>
      <c r="U128" s="643"/>
    </row>
    <row r="129" spans="1:21" x14ac:dyDescent="0.2">
      <c r="B129" s="120" t="s">
        <v>460</v>
      </c>
      <c r="C129" s="120" t="s">
        <v>344</v>
      </c>
      <c r="D129" s="120" t="s">
        <v>344</v>
      </c>
      <c r="E129" s="120" t="s">
        <v>344</v>
      </c>
      <c r="F129" s="120" t="s">
        <v>344</v>
      </c>
      <c r="G129" s="120" t="s">
        <v>344</v>
      </c>
      <c r="H129" s="120" t="s">
        <v>344</v>
      </c>
      <c r="I129" s="120" t="s">
        <v>344</v>
      </c>
      <c r="J129" s="120" t="s">
        <v>344</v>
      </c>
      <c r="K129" s="120" t="s">
        <v>344</v>
      </c>
      <c r="L129" s="120" t="s">
        <v>344</v>
      </c>
      <c r="M129" s="120" t="s">
        <v>344</v>
      </c>
      <c r="N129" s="120" t="s">
        <v>344</v>
      </c>
      <c r="O129" s="120" t="s">
        <v>344</v>
      </c>
      <c r="P129" s="120" t="s">
        <v>344</v>
      </c>
      <c r="Q129" s="120" t="s">
        <v>344</v>
      </c>
      <c r="R129" s="120" t="s">
        <v>344</v>
      </c>
      <c r="S129" s="120" t="s">
        <v>344</v>
      </c>
      <c r="T129" s="120" t="s">
        <v>457</v>
      </c>
      <c r="U129" s="120" t="s">
        <v>344</v>
      </c>
    </row>
    <row r="130" spans="1:21" x14ac:dyDescent="0.2">
      <c r="B130" s="88" t="s">
        <v>166</v>
      </c>
      <c r="C130" s="40">
        <v>6400</v>
      </c>
      <c r="D130" s="40">
        <v>7200</v>
      </c>
      <c r="E130" s="40">
        <v>7400</v>
      </c>
      <c r="F130" s="40">
        <v>7100</v>
      </c>
      <c r="G130" s="40">
        <v>7700</v>
      </c>
      <c r="H130" s="40">
        <v>7300</v>
      </c>
      <c r="I130" s="40">
        <v>5800</v>
      </c>
      <c r="J130" s="40">
        <v>5300</v>
      </c>
      <c r="K130" s="40">
        <v>7000</v>
      </c>
      <c r="L130" s="40">
        <v>6900</v>
      </c>
      <c r="M130" s="40">
        <v>6000</v>
      </c>
      <c r="N130" s="40">
        <v>6700</v>
      </c>
      <c r="O130" s="40">
        <v>7200</v>
      </c>
      <c r="P130" s="40">
        <v>6800</v>
      </c>
      <c r="Q130" s="40">
        <v>6800</v>
      </c>
      <c r="R130" s="40">
        <v>6300</v>
      </c>
      <c r="S130" s="40">
        <v>-500</v>
      </c>
      <c r="T130" s="40">
        <v>-6.3</v>
      </c>
      <c r="U130" s="40">
        <v>-900</v>
      </c>
    </row>
    <row r="131" spans="1:21" x14ac:dyDescent="0.2">
      <c r="B131" s="88" t="s">
        <v>419</v>
      </c>
      <c r="C131" s="40">
        <v>11500</v>
      </c>
      <c r="D131" s="40">
        <v>13200</v>
      </c>
      <c r="E131" s="40">
        <v>13400</v>
      </c>
      <c r="F131" s="40">
        <v>13400</v>
      </c>
      <c r="G131" s="40">
        <v>12900</v>
      </c>
      <c r="H131" s="40">
        <v>11000</v>
      </c>
      <c r="I131" s="40">
        <v>13700</v>
      </c>
      <c r="J131" s="40">
        <v>11800</v>
      </c>
      <c r="K131" s="40">
        <v>11900</v>
      </c>
      <c r="L131" s="40">
        <v>13300</v>
      </c>
      <c r="M131" s="40">
        <v>10700</v>
      </c>
      <c r="N131" s="40">
        <v>9700</v>
      </c>
      <c r="O131" s="40">
        <v>11600</v>
      </c>
      <c r="P131" s="40">
        <v>12100</v>
      </c>
      <c r="Q131" s="40">
        <v>10200</v>
      </c>
      <c r="R131" s="40">
        <v>10600</v>
      </c>
      <c r="S131" s="40">
        <v>400</v>
      </c>
      <c r="T131" s="40">
        <v>5.5</v>
      </c>
      <c r="U131" s="40">
        <v>-400</v>
      </c>
    </row>
    <row r="132" spans="1:21" x14ac:dyDescent="0.2">
      <c r="B132" s="88" t="s">
        <v>168</v>
      </c>
      <c r="C132" s="84">
        <v>28200</v>
      </c>
      <c r="D132" s="84">
        <v>26900</v>
      </c>
      <c r="E132" s="84">
        <v>25900</v>
      </c>
      <c r="F132" s="84">
        <v>23800</v>
      </c>
      <c r="G132" s="84">
        <v>23900</v>
      </c>
      <c r="H132" s="84">
        <v>22500</v>
      </c>
      <c r="I132" s="84">
        <v>25000</v>
      </c>
      <c r="J132" s="84">
        <v>24500</v>
      </c>
      <c r="K132" s="84">
        <v>23100</v>
      </c>
      <c r="L132" s="84">
        <v>19500</v>
      </c>
      <c r="M132" s="84">
        <v>23900</v>
      </c>
      <c r="N132" s="84">
        <v>23900</v>
      </c>
      <c r="O132" s="84">
        <v>21600</v>
      </c>
      <c r="P132" s="84">
        <v>26600</v>
      </c>
      <c r="Q132" s="84">
        <v>23100</v>
      </c>
      <c r="R132" s="84">
        <v>22700</v>
      </c>
      <c r="S132" s="84">
        <v>-400</v>
      </c>
      <c r="T132" s="84">
        <v>3.1</v>
      </c>
      <c r="U132" s="84">
        <v>200</v>
      </c>
    </row>
    <row r="133" spans="1:21" x14ac:dyDescent="0.2">
      <c r="B133" s="88" t="s">
        <v>169</v>
      </c>
      <c r="C133" s="40">
        <v>7700</v>
      </c>
      <c r="D133" s="40">
        <v>7700</v>
      </c>
      <c r="E133" s="40">
        <v>7900</v>
      </c>
      <c r="F133" s="40">
        <v>7600</v>
      </c>
      <c r="G133" s="40">
        <v>7900</v>
      </c>
      <c r="H133" s="40">
        <v>8400</v>
      </c>
      <c r="I133" s="40">
        <v>7700</v>
      </c>
      <c r="J133" s="40">
        <v>7800</v>
      </c>
      <c r="K133" s="40">
        <v>8400</v>
      </c>
      <c r="L133" s="40">
        <v>8200</v>
      </c>
      <c r="M133" s="40">
        <v>8100</v>
      </c>
      <c r="N133" s="40">
        <v>9300</v>
      </c>
      <c r="O133" s="40">
        <v>8900</v>
      </c>
      <c r="P133" s="40">
        <v>9500</v>
      </c>
      <c r="Q133" s="40">
        <v>8900</v>
      </c>
      <c r="R133" s="40">
        <v>10000</v>
      </c>
      <c r="S133" s="40">
        <v>1100</v>
      </c>
      <c r="T133" s="40">
        <v>10.5</v>
      </c>
      <c r="U133" s="40">
        <v>1600</v>
      </c>
    </row>
    <row r="137" spans="1:21" ht="15" x14ac:dyDescent="0.25">
      <c r="A137" s="12">
        <v>2.19</v>
      </c>
      <c r="B137" s="16" t="s">
        <v>21</v>
      </c>
    </row>
    <row r="138" spans="1:21" x14ac:dyDescent="0.2">
      <c r="B138" s="88"/>
      <c r="C138" s="632" t="s">
        <v>463</v>
      </c>
      <c r="D138" s="632"/>
      <c r="E138" s="632"/>
      <c r="F138" s="632"/>
      <c r="G138" s="632"/>
      <c r="H138" s="632"/>
      <c r="I138" s="632" t="s">
        <v>342</v>
      </c>
      <c r="J138" s="632"/>
      <c r="K138" s="632"/>
      <c r="L138" s="632"/>
      <c r="M138" s="632"/>
      <c r="N138" s="632"/>
    </row>
    <row r="139" spans="1:21" x14ac:dyDescent="0.2">
      <c r="B139" s="88"/>
      <c r="C139" s="632" t="s">
        <v>464</v>
      </c>
      <c r="D139" s="632"/>
      <c r="E139" s="632"/>
      <c r="F139" s="632" t="s">
        <v>465</v>
      </c>
      <c r="G139" s="632"/>
      <c r="H139" s="632"/>
      <c r="I139" s="632" t="s">
        <v>464</v>
      </c>
      <c r="J139" s="632"/>
      <c r="K139" s="632"/>
      <c r="L139" s="632" t="s">
        <v>466</v>
      </c>
      <c r="M139" s="632"/>
      <c r="N139" s="632"/>
    </row>
    <row r="140" spans="1:21" x14ac:dyDescent="0.2">
      <c r="B140" s="88"/>
      <c r="C140" s="120" t="s">
        <v>467</v>
      </c>
      <c r="D140" s="120" t="s">
        <v>468</v>
      </c>
      <c r="E140" s="120" t="s">
        <v>469</v>
      </c>
      <c r="F140" s="120" t="s">
        <v>467</v>
      </c>
      <c r="G140" s="120" t="s">
        <v>468</v>
      </c>
      <c r="H140" s="120" t="s">
        <v>469</v>
      </c>
      <c r="I140" s="120" t="s">
        <v>467</v>
      </c>
      <c r="J140" s="120" t="s">
        <v>468</v>
      </c>
      <c r="K140" s="120" t="s">
        <v>469</v>
      </c>
      <c r="L140" s="120" t="s">
        <v>467</v>
      </c>
      <c r="M140" s="120" t="s">
        <v>468</v>
      </c>
      <c r="N140" s="120" t="s">
        <v>469</v>
      </c>
    </row>
    <row r="141" spans="1:21" x14ac:dyDescent="0.2">
      <c r="B141" s="88" t="s">
        <v>117</v>
      </c>
      <c r="C141" s="40">
        <v>130805</v>
      </c>
      <c r="D141" s="40">
        <v>80420</v>
      </c>
      <c r="E141" s="40">
        <v>211225</v>
      </c>
      <c r="F141" s="40">
        <v>7.6</v>
      </c>
      <c r="G141" s="40">
        <v>4.5</v>
      </c>
      <c r="H141" s="40">
        <v>6</v>
      </c>
      <c r="I141" s="40">
        <v>63720</v>
      </c>
      <c r="J141" s="40">
        <v>38905</v>
      </c>
      <c r="K141" s="40">
        <v>102630</v>
      </c>
      <c r="L141" s="40">
        <v>3.7</v>
      </c>
      <c r="M141" s="40">
        <v>2.2000000000000002</v>
      </c>
      <c r="N141" s="40">
        <v>2.9</v>
      </c>
    </row>
    <row r="142" spans="1:21" x14ac:dyDescent="0.2">
      <c r="B142" s="88" t="s">
        <v>166</v>
      </c>
      <c r="C142" s="40">
        <v>2355</v>
      </c>
      <c r="D142" s="40">
        <v>1415</v>
      </c>
      <c r="E142" s="40">
        <v>3775</v>
      </c>
      <c r="F142" s="40">
        <v>6.9</v>
      </c>
      <c r="G142" s="40">
        <v>4</v>
      </c>
      <c r="H142" s="40">
        <v>5.4</v>
      </c>
      <c r="I142" s="40">
        <v>1140</v>
      </c>
      <c r="J142" s="40">
        <v>610</v>
      </c>
      <c r="K142" s="40">
        <v>1755</v>
      </c>
      <c r="L142" s="40">
        <v>3.3</v>
      </c>
      <c r="M142" s="40">
        <v>1.7</v>
      </c>
      <c r="N142" s="40">
        <v>2.5</v>
      </c>
    </row>
    <row r="143" spans="1:21" x14ac:dyDescent="0.2">
      <c r="B143" s="88" t="s">
        <v>419</v>
      </c>
      <c r="C143" s="40">
        <v>4660</v>
      </c>
      <c r="D143" s="40">
        <v>2495</v>
      </c>
      <c r="E143" s="40">
        <v>7160</v>
      </c>
      <c r="F143" s="40">
        <v>9.6</v>
      </c>
      <c r="G143" s="40">
        <v>4.9000000000000004</v>
      </c>
      <c r="H143" s="40">
        <v>7.2</v>
      </c>
      <c r="I143" s="40">
        <v>1740</v>
      </c>
      <c r="J143" s="40">
        <v>915</v>
      </c>
      <c r="K143" s="40">
        <v>2655</v>
      </c>
      <c r="L143" s="40">
        <v>3.6</v>
      </c>
      <c r="M143" s="40">
        <v>1.8</v>
      </c>
      <c r="N143" s="40">
        <v>2.7</v>
      </c>
    </row>
    <row r="144" spans="1:21" x14ac:dyDescent="0.2">
      <c r="B144" s="88" t="s">
        <v>168</v>
      </c>
      <c r="C144" s="84">
        <v>9020</v>
      </c>
      <c r="D144" s="84">
        <v>5760</v>
      </c>
      <c r="E144" s="84">
        <v>14780</v>
      </c>
      <c r="F144" s="84">
        <v>8</v>
      </c>
      <c r="G144" s="84">
        <v>4.9000000000000004</v>
      </c>
      <c r="H144" s="84">
        <v>6.4</v>
      </c>
      <c r="I144" s="84">
        <v>3815</v>
      </c>
      <c r="J144" s="84">
        <v>2460</v>
      </c>
      <c r="K144" s="84">
        <v>6270</v>
      </c>
      <c r="L144" s="84">
        <v>3.4</v>
      </c>
      <c r="M144" s="84">
        <v>2.1</v>
      </c>
      <c r="N144" s="84">
        <v>2.7</v>
      </c>
    </row>
    <row r="145" spans="1:17" x14ac:dyDescent="0.2">
      <c r="B145" s="88" t="s">
        <v>169</v>
      </c>
      <c r="C145" s="40">
        <v>2550</v>
      </c>
      <c r="D145" s="40">
        <v>1715</v>
      </c>
      <c r="E145" s="40">
        <v>4270</v>
      </c>
      <c r="F145" s="40">
        <v>5.6</v>
      </c>
      <c r="G145" s="40">
        <v>3.7</v>
      </c>
      <c r="H145" s="40">
        <v>4.7</v>
      </c>
      <c r="I145" s="40">
        <v>1510</v>
      </c>
      <c r="J145" s="40">
        <v>995</v>
      </c>
      <c r="K145" s="40">
        <v>2510</v>
      </c>
      <c r="L145" s="40">
        <v>3.3</v>
      </c>
      <c r="M145" s="40">
        <v>2.2000000000000002</v>
      </c>
      <c r="N145" s="40">
        <v>2.7</v>
      </c>
    </row>
    <row r="148" spans="1:17" ht="15" x14ac:dyDescent="0.25">
      <c r="A148" s="12">
        <v>2.2000000000000002</v>
      </c>
      <c r="B148" s="16" t="s">
        <v>389</v>
      </c>
    </row>
    <row r="149" spans="1:17" ht="15" x14ac:dyDescent="0.25">
      <c r="B149" s="638" t="s">
        <v>390</v>
      </c>
      <c r="C149" s="638"/>
      <c r="D149" s="638"/>
      <c r="E149" s="638"/>
      <c r="F149" s="638"/>
      <c r="G149" s="638"/>
      <c r="H149" s="632" t="s">
        <v>470</v>
      </c>
      <c r="I149" s="632"/>
      <c r="J149" s="632"/>
      <c r="K149" s="632"/>
      <c r="L149" s="632"/>
      <c r="M149" s="632"/>
      <c r="N149" s="632"/>
      <c r="O149" s="632"/>
      <c r="P149" s="632"/>
      <c r="Q149" s="632"/>
    </row>
    <row r="150" spans="1:17" x14ac:dyDescent="0.2">
      <c r="B150" s="88" t="s">
        <v>118</v>
      </c>
      <c r="C150" s="88" t="s">
        <v>471</v>
      </c>
      <c r="D150" s="88" t="s">
        <v>241</v>
      </c>
      <c r="E150" s="88" t="s">
        <v>391</v>
      </c>
      <c r="F150" s="88" t="s">
        <v>392</v>
      </c>
      <c r="G150" s="88" t="s">
        <v>391</v>
      </c>
      <c r="H150" s="88">
        <v>10</v>
      </c>
      <c r="I150" s="88">
        <v>20</v>
      </c>
      <c r="J150" s="88">
        <v>25</v>
      </c>
      <c r="K150" s="88">
        <v>30</v>
      </c>
      <c r="L150" s="88">
        <v>40</v>
      </c>
      <c r="M150" s="88">
        <v>60</v>
      </c>
      <c r="N150" s="88">
        <v>70</v>
      </c>
      <c r="O150" s="88">
        <v>75</v>
      </c>
      <c r="P150" s="88">
        <v>80</v>
      </c>
      <c r="Q150" s="88">
        <v>90</v>
      </c>
    </row>
    <row r="151" spans="1:17" x14ac:dyDescent="0.2">
      <c r="B151" s="88" t="s">
        <v>166</v>
      </c>
      <c r="C151" s="40">
        <v>49</v>
      </c>
      <c r="D151" s="40">
        <v>433.4</v>
      </c>
      <c r="E151" s="40">
        <v>-5.2</v>
      </c>
      <c r="F151" s="40">
        <v>506.3</v>
      </c>
      <c r="G151" s="40">
        <v>4.0999999999999996</v>
      </c>
      <c r="H151" s="40">
        <v>159.80000000000001</v>
      </c>
      <c r="I151" s="40">
        <v>250.4</v>
      </c>
      <c r="J151" s="40">
        <v>292.39999999999998</v>
      </c>
      <c r="K151" s="40">
        <v>335.6</v>
      </c>
      <c r="L151" s="40">
        <v>387.8</v>
      </c>
      <c r="M151" s="40">
        <v>518.9</v>
      </c>
      <c r="N151" s="40">
        <v>619.6</v>
      </c>
      <c r="O151" s="40">
        <v>669.7</v>
      </c>
      <c r="P151" s="40">
        <v>740.3</v>
      </c>
      <c r="Q151" s="40" t="s">
        <v>472</v>
      </c>
    </row>
    <row r="152" spans="1:17" x14ac:dyDescent="0.2">
      <c r="B152" s="88" t="s">
        <v>419</v>
      </c>
      <c r="C152" s="40">
        <v>56</v>
      </c>
      <c r="D152" s="40">
        <v>460.4</v>
      </c>
      <c r="E152" s="40">
        <v>5.0999999999999996</v>
      </c>
      <c r="F152" s="40">
        <v>498.2</v>
      </c>
      <c r="G152" s="40">
        <v>0.3</v>
      </c>
      <c r="H152" s="40">
        <v>154.1</v>
      </c>
      <c r="I152" s="40">
        <v>284.60000000000002</v>
      </c>
      <c r="J152" s="40">
        <v>326.10000000000002</v>
      </c>
      <c r="K152" s="40">
        <v>356.5</v>
      </c>
      <c r="L152" s="40">
        <v>407.3</v>
      </c>
      <c r="M152" s="40">
        <v>534.29999999999995</v>
      </c>
      <c r="N152" s="40">
        <v>607.9</v>
      </c>
      <c r="O152" s="40">
        <v>645</v>
      </c>
      <c r="P152" s="40">
        <v>670.2</v>
      </c>
      <c r="Q152" s="40" t="s">
        <v>472</v>
      </c>
    </row>
    <row r="153" spans="1:17" x14ac:dyDescent="0.2">
      <c r="B153" s="88" t="s">
        <v>168</v>
      </c>
      <c r="C153" s="40">
        <v>151</v>
      </c>
      <c r="D153" s="40">
        <v>483.3</v>
      </c>
      <c r="E153" s="40">
        <v>6.9</v>
      </c>
      <c r="F153" s="40">
        <v>529.6</v>
      </c>
      <c r="G153" s="40">
        <v>5.5</v>
      </c>
      <c r="H153" s="40">
        <v>176.8</v>
      </c>
      <c r="I153" s="40">
        <v>266.39999999999998</v>
      </c>
      <c r="J153" s="40">
        <v>323.8</v>
      </c>
      <c r="K153" s="40">
        <v>361.4</v>
      </c>
      <c r="L153" s="40">
        <v>406.4</v>
      </c>
      <c r="M153" s="40">
        <v>558.9</v>
      </c>
      <c r="N153" s="40">
        <v>650</v>
      </c>
      <c r="O153" s="40">
        <v>687.1</v>
      </c>
      <c r="P153" s="40">
        <v>761.1</v>
      </c>
      <c r="Q153" s="40">
        <v>891.3</v>
      </c>
    </row>
    <row r="154" spans="1:17" x14ac:dyDescent="0.2">
      <c r="B154" s="88" t="s">
        <v>420</v>
      </c>
      <c r="C154" s="40">
        <v>61</v>
      </c>
      <c r="D154" s="40">
        <v>477.9</v>
      </c>
      <c r="E154" s="40">
        <v>2.2999999999999998</v>
      </c>
      <c r="F154" s="40">
        <v>562.29999999999995</v>
      </c>
      <c r="G154" s="40">
        <v>2.9</v>
      </c>
      <c r="H154" s="40">
        <v>160.5</v>
      </c>
      <c r="I154" s="40">
        <v>265.8</v>
      </c>
      <c r="J154" s="40">
        <v>299.60000000000002</v>
      </c>
      <c r="K154" s="40">
        <v>328.1</v>
      </c>
      <c r="L154" s="40">
        <v>395.2</v>
      </c>
      <c r="M154" s="40">
        <v>536.6</v>
      </c>
      <c r="N154" s="40">
        <v>652.29999999999995</v>
      </c>
      <c r="O154" s="40">
        <v>696.1</v>
      </c>
      <c r="P154" s="40">
        <v>769.5</v>
      </c>
      <c r="Q154" s="40" t="s">
        <v>472</v>
      </c>
    </row>
    <row r="155" spans="1:17" ht="15" x14ac:dyDescent="0.25">
      <c r="B155" s="102" t="s">
        <v>393</v>
      </c>
      <c r="C155" s="88" t="s">
        <v>471</v>
      </c>
      <c r="D155" s="88" t="s">
        <v>241</v>
      </c>
      <c r="E155" s="88" t="s">
        <v>391</v>
      </c>
      <c r="F155" s="88" t="s">
        <v>392</v>
      </c>
      <c r="G155" s="88" t="s">
        <v>391</v>
      </c>
      <c r="H155" s="88">
        <v>10</v>
      </c>
      <c r="I155" s="88">
        <v>20</v>
      </c>
      <c r="J155" s="88">
        <v>25</v>
      </c>
      <c r="K155" s="88">
        <v>30</v>
      </c>
      <c r="L155" s="88">
        <v>40</v>
      </c>
      <c r="M155" s="88">
        <v>60</v>
      </c>
      <c r="N155" s="88">
        <v>70</v>
      </c>
      <c r="O155" s="88">
        <v>75</v>
      </c>
      <c r="P155" s="88">
        <v>80</v>
      </c>
      <c r="Q155" s="88">
        <v>90</v>
      </c>
    </row>
    <row r="156" spans="1:17" x14ac:dyDescent="0.2">
      <c r="B156" s="88" t="s">
        <v>166</v>
      </c>
      <c r="C156" s="40">
        <v>34</v>
      </c>
      <c r="D156" s="40">
        <v>575.29999999999995</v>
      </c>
      <c r="E156" s="40">
        <v>4.5999999999999996</v>
      </c>
      <c r="F156" s="40">
        <v>626.5</v>
      </c>
      <c r="G156" s="40">
        <v>3.3</v>
      </c>
      <c r="H156" s="40">
        <v>338.3</v>
      </c>
      <c r="I156" s="40">
        <v>388.5</v>
      </c>
      <c r="J156" s="40">
        <v>407.8</v>
      </c>
      <c r="K156" s="40">
        <v>429.5</v>
      </c>
      <c r="L156" s="40">
        <v>481.2</v>
      </c>
      <c r="M156" s="40">
        <v>644.9</v>
      </c>
      <c r="N156" s="40">
        <v>738</v>
      </c>
      <c r="O156" s="40">
        <v>793.7</v>
      </c>
      <c r="P156" s="40">
        <v>855.5</v>
      </c>
      <c r="Q156" s="40" t="s">
        <v>472</v>
      </c>
    </row>
    <row r="157" spans="1:17" x14ac:dyDescent="0.2">
      <c r="B157" s="88" t="s">
        <v>419</v>
      </c>
      <c r="C157" s="40">
        <v>40</v>
      </c>
      <c r="D157" s="40">
        <v>559.70000000000005</v>
      </c>
      <c r="E157" s="40">
        <v>3.1</v>
      </c>
      <c r="F157" s="40">
        <v>602.9</v>
      </c>
      <c r="G157" s="40">
        <v>0.3</v>
      </c>
      <c r="H157" s="40">
        <v>358.3</v>
      </c>
      <c r="I157" s="40">
        <v>402.4</v>
      </c>
      <c r="J157" s="40">
        <v>419.5</v>
      </c>
      <c r="K157" s="40">
        <v>448.7</v>
      </c>
      <c r="L157" s="40">
        <v>499.1</v>
      </c>
      <c r="M157" s="40">
        <v>613.20000000000005</v>
      </c>
      <c r="N157" s="40">
        <v>664.4</v>
      </c>
      <c r="O157" s="40">
        <v>683.9</v>
      </c>
      <c r="P157" s="40">
        <v>757.9</v>
      </c>
      <c r="Q157" s="40" t="s">
        <v>472</v>
      </c>
    </row>
    <row r="158" spans="1:17" x14ac:dyDescent="0.2">
      <c r="B158" s="88" t="s">
        <v>168</v>
      </c>
      <c r="C158" s="40">
        <v>105</v>
      </c>
      <c r="D158" s="40">
        <v>579.20000000000005</v>
      </c>
      <c r="E158" s="40">
        <v>2.6</v>
      </c>
      <c r="F158" s="40">
        <v>645.6</v>
      </c>
      <c r="G158" s="40">
        <v>3.6</v>
      </c>
      <c r="H158" s="40">
        <v>365.2</v>
      </c>
      <c r="I158" s="40">
        <v>406.3</v>
      </c>
      <c r="J158" s="40">
        <v>433</v>
      </c>
      <c r="K158" s="40">
        <v>467.5</v>
      </c>
      <c r="L158" s="40">
        <v>523.4</v>
      </c>
      <c r="M158" s="40">
        <v>660.5</v>
      </c>
      <c r="N158" s="40">
        <v>732.9</v>
      </c>
      <c r="O158" s="40">
        <v>792.9</v>
      </c>
      <c r="P158" s="40">
        <v>812.5</v>
      </c>
      <c r="Q158" s="40" t="s">
        <v>472</v>
      </c>
    </row>
    <row r="159" spans="1:17" x14ac:dyDescent="0.2">
      <c r="B159" s="88" t="s">
        <v>420</v>
      </c>
      <c r="C159" s="40">
        <v>45</v>
      </c>
      <c r="D159" s="40">
        <v>560.70000000000005</v>
      </c>
      <c r="E159" s="40">
        <v>-1</v>
      </c>
      <c r="F159" s="40">
        <v>678.4</v>
      </c>
      <c r="G159" s="40">
        <v>2.7</v>
      </c>
      <c r="H159" s="40">
        <v>318.7</v>
      </c>
      <c r="I159" s="40">
        <v>370.1</v>
      </c>
      <c r="J159" s="40">
        <v>404.6</v>
      </c>
      <c r="K159" s="40">
        <v>447.8</v>
      </c>
      <c r="L159" s="40">
        <v>502.2</v>
      </c>
      <c r="M159" s="40">
        <v>658.3</v>
      </c>
      <c r="N159" s="40">
        <v>723.5</v>
      </c>
      <c r="O159" s="40">
        <v>783.7</v>
      </c>
      <c r="P159" s="40">
        <v>866.7</v>
      </c>
      <c r="Q159" s="40" t="s">
        <v>472</v>
      </c>
    </row>
    <row r="160" spans="1:17" ht="15" x14ac:dyDescent="0.25">
      <c r="B160" s="102" t="s">
        <v>394</v>
      </c>
      <c r="C160" s="88" t="s">
        <v>471</v>
      </c>
      <c r="D160" s="88" t="s">
        <v>241</v>
      </c>
      <c r="E160" s="88" t="s">
        <v>391</v>
      </c>
      <c r="F160" s="88" t="s">
        <v>392</v>
      </c>
      <c r="G160" s="88" t="s">
        <v>391</v>
      </c>
      <c r="H160" s="88">
        <v>10</v>
      </c>
      <c r="I160" s="88">
        <v>20</v>
      </c>
      <c r="J160" s="88">
        <v>25</v>
      </c>
      <c r="K160" s="88">
        <v>30</v>
      </c>
      <c r="L160" s="88">
        <v>40</v>
      </c>
      <c r="M160" s="88">
        <v>60</v>
      </c>
      <c r="N160" s="88">
        <v>70</v>
      </c>
      <c r="O160" s="88">
        <v>75</v>
      </c>
      <c r="P160" s="88">
        <v>80</v>
      </c>
      <c r="Q160" s="88">
        <v>90</v>
      </c>
    </row>
    <row r="161" spans="2:17" x14ac:dyDescent="0.2">
      <c r="B161" s="88" t="s">
        <v>166</v>
      </c>
      <c r="C161" s="40">
        <v>15</v>
      </c>
      <c r="D161" s="40">
        <v>221.4</v>
      </c>
      <c r="E161" s="40">
        <v>7.6</v>
      </c>
      <c r="F161" s="40">
        <v>239</v>
      </c>
      <c r="G161" s="40">
        <v>0.1</v>
      </c>
      <c r="H161" s="40" t="s">
        <v>472</v>
      </c>
      <c r="I161" s="40" t="s">
        <v>472</v>
      </c>
      <c r="J161" s="40">
        <v>133.80000000000001</v>
      </c>
      <c r="K161" s="40">
        <v>156.6</v>
      </c>
      <c r="L161" s="40">
        <v>189</v>
      </c>
      <c r="M161" s="40">
        <v>246.3</v>
      </c>
      <c r="N161" s="40">
        <v>285</v>
      </c>
      <c r="O161" s="40" t="s">
        <v>472</v>
      </c>
      <c r="P161" s="40" t="s">
        <v>472</v>
      </c>
      <c r="Q161" s="40" t="s">
        <v>472</v>
      </c>
    </row>
    <row r="162" spans="2:17" x14ac:dyDescent="0.2">
      <c r="B162" s="88" t="s">
        <v>419</v>
      </c>
      <c r="C162" s="40">
        <v>16</v>
      </c>
      <c r="D162" s="40">
        <v>216.8</v>
      </c>
      <c r="E162" s="40">
        <v>13.6</v>
      </c>
      <c r="F162" s="40">
        <v>244.1</v>
      </c>
      <c r="G162" s="40">
        <v>7.5</v>
      </c>
      <c r="H162" s="40" t="s">
        <v>472</v>
      </c>
      <c r="I162" s="40">
        <v>116.4</v>
      </c>
      <c r="J162" s="40">
        <v>130.9</v>
      </c>
      <c r="K162" s="40">
        <v>146.19999999999999</v>
      </c>
      <c r="L162" s="40">
        <v>185</v>
      </c>
      <c r="M162" s="40">
        <v>251</v>
      </c>
      <c r="N162" s="40">
        <v>303.7</v>
      </c>
      <c r="O162" s="40" t="s">
        <v>472</v>
      </c>
      <c r="P162" s="40" t="s">
        <v>472</v>
      </c>
      <c r="Q162" s="40" t="s">
        <v>472</v>
      </c>
    </row>
    <row r="163" spans="2:17" x14ac:dyDescent="0.2">
      <c r="B163" s="88" t="s">
        <v>168</v>
      </c>
      <c r="C163" s="40">
        <v>46</v>
      </c>
      <c r="D163" s="40">
        <v>232</v>
      </c>
      <c r="E163" s="40">
        <v>15.3</v>
      </c>
      <c r="F163" s="40">
        <v>264.89999999999998</v>
      </c>
      <c r="G163" s="40">
        <v>15.7</v>
      </c>
      <c r="H163" s="40">
        <v>93.7</v>
      </c>
      <c r="I163" s="40">
        <v>134.4</v>
      </c>
      <c r="J163" s="40">
        <v>158.19999999999999</v>
      </c>
      <c r="K163" s="40">
        <v>168.6</v>
      </c>
      <c r="L163" s="40">
        <v>197.3</v>
      </c>
      <c r="M163" s="40">
        <v>252.9</v>
      </c>
      <c r="N163" s="40">
        <v>297.39999999999998</v>
      </c>
      <c r="O163" s="40">
        <v>333.5</v>
      </c>
      <c r="P163" s="40">
        <v>383.8</v>
      </c>
      <c r="Q163" s="40" t="s">
        <v>472</v>
      </c>
    </row>
    <row r="164" spans="2:17" x14ac:dyDescent="0.2">
      <c r="B164" s="88" t="s">
        <v>420</v>
      </c>
      <c r="C164" s="40">
        <v>17</v>
      </c>
      <c r="D164" s="40">
        <v>215.7</v>
      </c>
      <c r="E164" s="40">
        <v>-8</v>
      </c>
      <c r="F164" s="40">
        <v>254.4</v>
      </c>
      <c r="G164" s="40">
        <v>-5.0999999999999996</v>
      </c>
      <c r="H164" s="40" t="s">
        <v>472</v>
      </c>
      <c r="I164" s="40">
        <v>101.1</v>
      </c>
      <c r="J164" s="40">
        <v>124.4</v>
      </c>
      <c r="K164" s="40">
        <v>143.69999999999999</v>
      </c>
      <c r="L164" s="40">
        <v>182.5</v>
      </c>
      <c r="M164" s="40">
        <v>255.8</v>
      </c>
      <c r="N164" s="40" t="s">
        <v>472</v>
      </c>
      <c r="O164" s="40" t="s">
        <v>472</v>
      </c>
      <c r="P164" s="40" t="s">
        <v>472</v>
      </c>
      <c r="Q164" s="40" t="s">
        <v>472</v>
      </c>
    </row>
    <row r="165" spans="2:17" ht="15" x14ac:dyDescent="0.25">
      <c r="B165" s="102" t="s">
        <v>395</v>
      </c>
      <c r="C165" s="88" t="s">
        <v>471</v>
      </c>
      <c r="D165" s="88" t="s">
        <v>241</v>
      </c>
      <c r="E165" s="88" t="s">
        <v>391</v>
      </c>
      <c r="F165" s="88" t="s">
        <v>392</v>
      </c>
      <c r="G165" s="88" t="s">
        <v>391</v>
      </c>
      <c r="H165" s="88">
        <v>10</v>
      </c>
      <c r="I165" s="88">
        <v>20</v>
      </c>
      <c r="J165" s="88">
        <v>25</v>
      </c>
      <c r="K165" s="88">
        <v>30</v>
      </c>
      <c r="L165" s="88">
        <v>40</v>
      </c>
      <c r="M165" s="88">
        <v>60</v>
      </c>
      <c r="N165" s="88">
        <v>70</v>
      </c>
      <c r="O165" s="88">
        <v>75</v>
      </c>
      <c r="P165" s="88">
        <v>80</v>
      </c>
      <c r="Q165" s="88">
        <v>90</v>
      </c>
    </row>
    <row r="166" spans="2:17" x14ac:dyDescent="0.2">
      <c r="B166" s="88" t="s">
        <v>166</v>
      </c>
      <c r="C166" s="40">
        <v>22</v>
      </c>
      <c r="D166" s="40">
        <v>498.3</v>
      </c>
      <c r="E166" s="40">
        <v>-2.2000000000000002</v>
      </c>
      <c r="F166" s="40">
        <v>589.29999999999995</v>
      </c>
      <c r="G166" s="40">
        <v>4.3</v>
      </c>
      <c r="H166" s="40" t="s">
        <v>472</v>
      </c>
      <c r="I166" s="40">
        <v>335.9</v>
      </c>
      <c r="J166" s="40">
        <v>374.3</v>
      </c>
      <c r="K166" s="40">
        <v>387.8</v>
      </c>
      <c r="L166" s="40">
        <v>422.1</v>
      </c>
      <c r="M166" s="40">
        <v>612.4</v>
      </c>
      <c r="N166" s="40">
        <v>740.2</v>
      </c>
      <c r="O166" s="40">
        <v>802.6</v>
      </c>
      <c r="P166" s="40" t="s">
        <v>472</v>
      </c>
      <c r="Q166" s="40" t="s">
        <v>472</v>
      </c>
    </row>
    <row r="167" spans="2:17" x14ac:dyDescent="0.2">
      <c r="B167" s="88" t="s">
        <v>419</v>
      </c>
      <c r="C167" s="40">
        <v>24</v>
      </c>
      <c r="D167" s="40">
        <v>545.9</v>
      </c>
      <c r="E167" s="40">
        <v>3.9</v>
      </c>
      <c r="F167" s="40">
        <v>597.79999999999995</v>
      </c>
      <c r="G167" s="40">
        <v>4</v>
      </c>
      <c r="H167" s="40">
        <v>308.2</v>
      </c>
      <c r="I167" s="40">
        <v>392.9</v>
      </c>
      <c r="J167" s="40">
        <v>402.3</v>
      </c>
      <c r="K167" s="40">
        <v>416.8</v>
      </c>
      <c r="L167" s="40">
        <v>498.3</v>
      </c>
      <c r="M167" s="40">
        <v>613.70000000000005</v>
      </c>
      <c r="N167" s="40">
        <v>670.3</v>
      </c>
      <c r="O167" s="40">
        <v>684.7</v>
      </c>
      <c r="P167" s="40" t="s">
        <v>472</v>
      </c>
      <c r="Q167" s="40" t="s">
        <v>472</v>
      </c>
    </row>
    <row r="168" spans="2:17" x14ac:dyDescent="0.2">
      <c r="B168" s="88" t="s">
        <v>168</v>
      </c>
      <c r="C168" s="40">
        <v>67</v>
      </c>
      <c r="D168" s="40">
        <v>561.9</v>
      </c>
      <c r="E168" s="40">
        <v>2.7</v>
      </c>
      <c r="F168" s="40">
        <v>611.1</v>
      </c>
      <c r="G168" s="40">
        <v>4.3</v>
      </c>
      <c r="H168" s="40">
        <v>266.3</v>
      </c>
      <c r="I168" s="40">
        <v>371.1</v>
      </c>
      <c r="J168" s="40">
        <v>388.4</v>
      </c>
      <c r="K168" s="40">
        <v>424.3</v>
      </c>
      <c r="L168" s="40">
        <v>503.9</v>
      </c>
      <c r="M168" s="40">
        <v>634.6</v>
      </c>
      <c r="N168" s="40">
        <v>695.5</v>
      </c>
      <c r="O168" s="40">
        <v>741.3</v>
      </c>
      <c r="P168" s="40">
        <v>799.3</v>
      </c>
      <c r="Q168" s="40" t="s">
        <v>472</v>
      </c>
    </row>
    <row r="169" spans="2:17" x14ac:dyDescent="0.2">
      <c r="B169" s="88" t="s">
        <v>420</v>
      </c>
      <c r="C169" s="40">
        <v>31</v>
      </c>
      <c r="D169" s="40">
        <v>552.6</v>
      </c>
      <c r="E169" s="40">
        <v>-2.7</v>
      </c>
      <c r="F169" s="40">
        <v>651.9</v>
      </c>
      <c r="G169" s="40">
        <v>-0.4</v>
      </c>
      <c r="H169" s="40" t="s">
        <v>472</v>
      </c>
      <c r="I169" s="40">
        <v>320.7</v>
      </c>
      <c r="J169" s="40">
        <v>355.9</v>
      </c>
      <c r="K169" s="40">
        <v>402.8</v>
      </c>
      <c r="L169" s="40">
        <v>478.1</v>
      </c>
      <c r="M169" s="40">
        <v>631.9</v>
      </c>
      <c r="N169" s="40">
        <v>723.6</v>
      </c>
      <c r="O169" s="40">
        <v>805.6</v>
      </c>
      <c r="P169" s="40" t="s">
        <v>472</v>
      </c>
      <c r="Q169" s="40" t="s">
        <v>472</v>
      </c>
    </row>
    <row r="170" spans="2:17" ht="15" x14ac:dyDescent="0.25">
      <c r="B170" s="102" t="s">
        <v>396</v>
      </c>
      <c r="C170" s="88" t="s">
        <v>471</v>
      </c>
      <c r="D170" s="88" t="s">
        <v>241</v>
      </c>
      <c r="E170" s="88" t="s">
        <v>391</v>
      </c>
      <c r="F170" s="88" t="s">
        <v>392</v>
      </c>
      <c r="G170" s="88" t="s">
        <v>391</v>
      </c>
      <c r="H170" s="88">
        <v>10</v>
      </c>
      <c r="I170" s="88">
        <v>20</v>
      </c>
      <c r="J170" s="88">
        <v>25</v>
      </c>
      <c r="K170" s="88">
        <v>30</v>
      </c>
      <c r="L170" s="88">
        <v>40</v>
      </c>
      <c r="M170" s="88">
        <v>60</v>
      </c>
      <c r="N170" s="88">
        <v>70</v>
      </c>
      <c r="O170" s="88">
        <v>75</v>
      </c>
      <c r="P170" s="88">
        <v>80</v>
      </c>
      <c r="Q170" s="88">
        <v>90</v>
      </c>
    </row>
    <row r="171" spans="2:17" x14ac:dyDescent="0.2">
      <c r="B171" s="88" t="s">
        <v>166</v>
      </c>
      <c r="C171" s="40">
        <v>27</v>
      </c>
      <c r="D171" s="40">
        <v>398.4</v>
      </c>
      <c r="E171" s="40">
        <v>-0.7</v>
      </c>
      <c r="F171" s="40">
        <v>438.9</v>
      </c>
      <c r="G171" s="40">
        <v>5.4</v>
      </c>
      <c r="H171" s="40">
        <v>135.5</v>
      </c>
      <c r="I171" s="40">
        <v>221.8</v>
      </c>
      <c r="J171" s="40">
        <v>247.4</v>
      </c>
      <c r="K171" s="40">
        <v>282</v>
      </c>
      <c r="L171" s="40">
        <v>337</v>
      </c>
      <c r="M171" s="40">
        <v>449.8</v>
      </c>
      <c r="N171" s="40">
        <v>556.20000000000005</v>
      </c>
      <c r="O171" s="40">
        <v>599.9</v>
      </c>
      <c r="P171" s="40" t="s">
        <v>472</v>
      </c>
      <c r="Q171" s="40" t="s">
        <v>472</v>
      </c>
    </row>
    <row r="172" spans="2:17" x14ac:dyDescent="0.2">
      <c r="B172" s="88" t="s">
        <v>419</v>
      </c>
      <c r="C172" s="40">
        <v>33</v>
      </c>
      <c r="D172" s="40">
        <v>409.6</v>
      </c>
      <c r="E172" s="40">
        <v>1.4</v>
      </c>
      <c r="F172" s="40">
        <v>426</v>
      </c>
      <c r="G172" s="40">
        <v>-0.2</v>
      </c>
      <c r="H172" s="40" t="s">
        <v>472</v>
      </c>
      <c r="I172" s="40">
        <v>207.8</v>
      </c>
      <c r="J172" s="40">
        <v>234.8</v>
      </c>
      <c r="K172" s="40">
        <v>295.7</v>
      </c>
      <c r="L172" s="40">
        <v>348.8</v>
      </c>
      <c r="M172" s="40">
        <v>460.7</v>
      </c>
      <c r="N172" s="40">
        <v>538.4</v>
      </c>
      <c r="O172" s="40">
        <v>591.79999999999995</v>
      </c>
      <c r="P172" s="40">
        <v>629</v>
      </c>
      <c r="Q172" s="40" t="s">
        <v>472</v>
      </c>
    </row>
    <row r="173" spans="2:17" x14ac:dyDescent="0.2">
      <c r="B173" s="88" t="s">
        <v>168</v>
      </c>
      <c r="C173" s="40">
        <v>84</v>
      </c>
      <c r="D173" s="40">
        <v>408.8</v>
      </c>
      <c r="E173" s="40">
        <v>10.1</v>
      </c>
      <c r="F173" s="40">
        <v>464.8</v>
      </c>
      <c r="G173" s="40">
        <v>8.5</v>
      </c>
      <c r="H173" s="40">
        <v>148.4</v>
      </c>
      <c r="I173" s="40">
        <v>215.7</v>
      </c>
      <c r="J173" s="40">
        <v>247.3</v>
      </c>
      <c r="K173" s="40">
        <v>275.2</v>
      </c>
      <c r="L173" s="40">
        <v>361.3</v>
      </c>
      <c r="M173" s="40">
        <v>481.5</v>
      </c>
      <c r="N173" s="40">
        <v>569.20000000000005</v>
      </c>
      <c r="O173" s="40">
        <v>616.1</v>
      </c>
      <c r="P173" s="40">
        <v>682.9</v>
      </c>
      <c r="Q173" s="40" t="s">
        <v>472</v>
      </c>
    </row>
    <row r="174" spans="2:17" x14ac:dyDescent="0.2">
      <c r="B174" s="88" t="s">
        <v>420</v>
      </c>
      <c r="C174" s="40">
        <v>31</v>
      </c>
      <c r="D174" s="40">
        <v>388.9</v>
      </c>
      <c r="E174" s="40">
        <v>-2</v>
      </c>
      <c r="F174" s="40">
        <v>472.5</v>
      </c>
      <c r="G174" s="40">
        <v>4.2</v>
      </c>
      <c r="H174" s="40" t="s">
        <v>472</v>
      </c>
      <c r="I174" s="40">
        <v>198.9</v>
      </c>
      <c r="J174" s="40">
        <v>252</v>
      </c>
      <c r="K174" s="40">
        <v>287.5</v>
      </c>
      <c r="L174" s="40">
        <v>329.9</v>
      </c>
      <c r="M174" s="40">
        <v>474.4</v>
      </c>
      <c r="N174" s="40">
        <v>513.9</v>
      </c>
      <c r="O174" s="40">
        <v>606.70000000000005</v>
      </c>
      <c r="P174" s="40">
        <v>666.1</v>
      </c>
      <c r="Q174" s="40" t="s">
        <v>472</v>
      </c>
    </row>
    <row r="178" spans="2:17" ht="15" x14ac:dyDescent="0.25">
      <c r="B178" s="16" t="s">
        <v>473</v>
      </c>
    </row>
    <row r="179" spans="2:17" ht="15" x14ac:dyDescent="0.25">
      <c r="B179" s="102" t="s">
        <v>390</v>
      </c>
      <c r="C179" s="103"/>
      <c r="D179" s="103"/>
      <c r="E179" s="103"/>
      <c r="F179" s="103"/>
      <c r="G179" s="104"/>
      <c r="H179" s="642" t="s">
        <v>470</v>
      </c>
      <c r="I179" s="644"/>
      <c r="J179" s="644"/>
      <c r="K179" s="644"/>
      <c r="L179" s="644"/>
      <c r="M179" s="644"/>
      <c r="N179" s="644"/>
      <c r="O179" s="644"/>
      <c r="P179" s="644"/>
      <c r="Q179" s="643"/>
    </row>
    <row r="180" spans="2:17" x14ac:dyDescent="0.2">
      <c r="B180" s="88" t="s">
        <v>118</v>
      </c>
      <c r="C180" s="88" t="s">
        <v>471</v>
      </c>
      <c r="D180" s="88" t="s">
        <v>241</v>
      </c>
      <c r="E180" s="88" t="s">
        <v>391</v>
      </c>
      <c r="F180" s="88" t="s">
        <v>392</v>
      </c>
      <c r="G180" s="88" t="s">
        <v>391</v>
      </c>
      <c r="H180" s="88">
        <v>10</v>
      </c>
      <c r="I180" s="88">
        <v>20</v>
      </c>
      <c r="J180" s="88">
        <v>25</v>
      </c>
      <c r="K180" s="88">
        <v>30</v>
      </c>
      <c r="L180" s="88">
        <v>40</v>
      </c>
      <c r="M180" s="88">
        <v>60</v>
      </c>
      <c r="N180" s="88">
        <v>70</v>
      </c>
      <c r="O180" s="88">
        <v>75</v>
      </c>
      <c r="P180" s="88">
        <v>80</v>
      </c>
      <c r="Q180" s="88">
        <v>90</v>
      </c>
    </row>
    <row r="181" spans="2:17" x14ac:dyDescent="0.2">
      <c r="B181" s="88" t="s">
        <v>166</v>
      </c>
      <c r="C181" s="40">
        <v>49</v>
      </c>
      <c r="D181" s="40">
        <v>36.799999999999997</v>
      </c>
      <c r="E181" s="40">
        <v>1.6</v>
      </c>
      <c r="F181" s="40">
        <v>32.700000000000003</v>
      </c>
      <c r="G181" s="40">
        <v>0.2</v>
      </c>
      <c r="H181" s="40">
        <v>16</v>
      </c>
      <c r="I181" s="40">
        <v>22.5</v>
      </c>
      <c r="J181" s="40">
        <v>27.5</v>
      </c>
      <c r="K181" s="40">
        <v>30</v>
      </c>
      <c r="L181" s="40">
        <v>35</v>
      </c>
      <c r="M181" s="40">
        <v>37.5</v>
      </c>
      <c r="N181" s="40">
        <v>39</v>
      </c>
      <c r="O181" s="40">
        <v>39.299999999999997</v>
      </c>
      <c r="P181" s="40">
        <v>40</v>
      </c>
      <c r="Q181" s="40" t="s">
        <v>472</v>
      </c>
    </row>
    <row r="182" spans="2:17" x14ac:dyDescent="0.2">
      <c r="B182" s="88" t="s">
        <v>419</v>
      </c>
      <c r="C182" s="40">
        <v>56</v>
      </c>
      <c r="D182" s="40">
        <v>37</v>
      </c>
      <c r="E182" s="40">
        <v>1.6</v>
      </c>
      <c r="F182" s="40">
        <v>32.6</v>
      </c>
      <c r="G182" s="40">
        <v>0.3</v>
      </c>
      <c r="H182" s="40">
        <v>18.5</v>
      </c>
      <c r="I182" s="40">
        <v>25.1</v>
      </c>
      <c r="J182" s="40">
        <v>29</v>
      </c>
      <c r="K182" s="40">
        <v>32.5</v>
      </c>
      <c r="L182" s="40">
        <v>35</v>
      </c>
      <c r="M182" s="40">
        <v>37.4</v>
      </c>
      <c r="N182" s="40">
        <v>37.5</v>
      </c>
      <c r="O182" s="40">
        <v>38.5</v>
      </c>
      <c r="P182" s="40">
        <v>39.9</v>
      </c>
      <c r="Q182" s="40" t="s">
        <v>472</v>
      </c>
    </row>
    <row r="183" spans="2:17" x14ac:dyDescent="0.2">
      <c r="B183" s="88" t="s">
        <v>168</v>
      </c>
      <c r="C183" s="40">
        <v>151</v>
      </c>
      <c r="D183" s="40">
        <v>36</v>
      </c>
      <c r="E183" s="40">
        <v>0</v>
      </c>
      <c r="F183" s="40">
        <v>32.5</v>
      </c>
      <c r="G183" s="40">
        <v>-0.6</v>
      </c>
      <c r="H183" s="40">
        <v>16.399999999999999</v>
      </c>
      <c r="I183" s="40">
        <v>23.9</v>
      </c>
      <c r="J183" s="40">
        <v>28</v>
      </c>
      <c r="K183" s="40">
        <v>30.3</v>
      </c>
      <c r="L183" s="40">
        <v>35</v>
      </c>
      <c r="M183" s="40">
        <v>37</v>
      </c>
      <c r="N183" s="40">
        <v>37.5</v>
      </c>
      <c r="O183" s="40">
        <v>37.9</v>
      </c>
      <c r="P183" s="40">
        <v>39</v>
      </c>
      <c r="Q183" s="40">
        <v>40</v>
      </c>
    </row>
    <row r="184" spans="2:17" x14ac:dyDescent="0.2">
      <c r="B184" s="88" t="s">
        <v>420</v>
      </c>
      <c r="C184" s="40">
        <v>61</v>
      </c>
      <c r="D184" s="40">
        <v>37</v>
      </c>
      <c r="E184" s="40">
        <v>2.5</v>
      </c>
      <c r="F184" s="40">
        <v>33.200000000000003</v>
      </c>
      <c r="G184" s="40">
        <v>-1.4</v>
      </c>
      <c r="H184" s="40">
        <v>15.8</v>
      </c>
      <c r="I184" s="40">
        <v>24.6</v>
      </c>
      <c r="J184" s="40">
        <v>30</v>
      </c>
      <c r="K184" s="40">
        <v>32.200000000000003</v>
      </c>
      <c r="L184" s="40">
        <v>35</v>
      </c>
      <c r="M184" s="40">
        <v>37.5</v>
      </c>
      <c r="N184" s="40">
        <v>38.299999999999997</v>
      </c>
      <c r="O184" s="40">
        <v>39.799999999999997</v>
      </c>
      <c r="P184" s="40">
        <v>40</v>
      </c>
      <c r="Q184" s="40" t="s">
        <v>472</v>
      </c>
    </row>
    <row r="185" spans="2:17" ht="15" x14ac:dyDescent="0.25">
      <c r="B185" s="102" t="s">
        <v>395</v>
      </c>
      <c r="C185" s="88" t="s">
        <v>471</v>
      </c>
      <c r="D185" s="88" t="s">
        <v>241</v>
      </c>
      <c r="E185" s="88" t="s">
        <v>391</v>
      </c>
      <c r="F185" s="88" t="s">
        <v>392</v>
      </c>
      <c r="G185" s="88" t="s">
        <v>391</v>
      </c>
      <c r="H185" s="88">
        <v>10</v>
      </c>
      <c r="I185" s="88">
        <v>20</v>
      </c>
      <c r="J185" s="88">
        <v>25</v>
      </c>
      <c r="K185" s="88">
        <v>30</v>
      </c>
      <c r="L185" s="88">
        <v>40</v>
      </c>
      <c r="M185" s="88">
        <v>60</v>
      </c>
      <c r="N185" s="88">
        <v>70</v>
      </c>
      <c r="O185" s="88">
        <v>75</v>
      </c>
      <c r="P185" s="88">
        <v>80</v>
      </c>
      <c r="Q185" s="88">
        <v>90</v>
      </c>
    </row>
    <row r="186" spans="2:17" x14ac:dyDescent="0.2">
      <c r="B186" s="88" t="s">
        <v>166</v>
      </c>
      <c r="C186" s="40">
        <v>22</v>
      </c>
      <c r="D186" s="40">
        <v>39</v>
      </c>
      <c r="E186" s="40">
        <v>3.8</v>
      </c>
      <c r="F186" s="40">
        <v>36.4</v>
      </c>
      <c r="G186" s="40">
        <v>0.5</v>
      </c>
      <c r="H186" s="40" t="s">
        <v>472</v>
      </c>
      <c r="I186" s="40">
        <v>34.5</v>
      </c>
      <c r="J186" s="40">
        <v>35</v>
      </c>
      <c r="K186" s="40">
        <v>36.799999999999997</v>
      </c>
      <c r="L186" s="40">
        <v>37.5</v>
      </c>
      <c r="M186" s="40">
        <v>39.9</v>
      </c>
      <c r="N186" s="40">
        <v>40</v>
      </c>
      <c r="O186" s="40">
        <v>40.200000000000003</v>
      </c>
      <c r="P186" s="40" t="s">
        <v>472</v>
      </c>
      <c r="Q186" s="40" t="s">
        <v>472</v>
      </c>
    </row>
    <row r="187" spans="2:17" x14ac:dyDescent="0.2">
      <c r="B187" s="88" t="s">
        <v>419</v>
      </c>
      <c r="C187" s="40">
        <v>24</v>
      </c>
      <c r="D187" s="40">
        <v>37.5</v>
      </c>
      <c r="E187" s="40">
        <v>0.1</v>
      </c>
      <c r="F187" s="40">
        <v>37.5</v>
      </c>
      <c r="G187" s="40">
        <v>6.7</v>
      </c>
      <c r="H187" s="40">
        <v>31.6</v>
      </c>
      <c r="I187" s="40">
        <v>35.1</v>
      </c>
      <c r="J187" s="40">
        <v>36.9</v>
      </c>
      <c r="K187" s="40">
        <v>37</v>
      </c>
      <c r="L187" s="40">
        <v>37.1</v>
      </c>
      <c r="M187" s="40">
        <v>38.9</v>
      </c>
      <c r="N187" s="40">
        <v>40</v>
      </c>
      <c r="O187" s="40">
        <v>40</v>
      </c>
      <c r="P187" s="40">
        <v>40.700000000000003</v>
      </c>
      <c r="Q187" s="40" t="s">
        <v>472</v>
      </c>
    </row>
    <row r="188" spans="2:17" x14ac:dyDescent="0.2">
      <c r="B188" s="88" t="s">
        <v>168</v>
      </c>
      <c r="C188" s="40">
        <v>67</v>
      </c>
      <c r="D188" s="40">
        <v>37</v>
      </c>
      <c r="E188" s="40">
        <v>-1.3</v>
      </c>
      <c r="F188" s="40">
        <v>35.5</v>
      </c>
      <c r="G188" s="40">
        <v>-2</v>
      </c>
      <c r="H188" s="40">
        <v>23.9</v>
      </c>
      <c r="I188" s="40" t="s">
        <v>472</v>
      </c>
      <c r="J188" s="40">
        <v>35</v>
      </c>
      <c r="K188" s="40">
        <v>35.299999999999997</v>
      </c>
      <c r="L188" s="40">
        <v>36.200000000000003</v>
      </c>
      <c r="M188" s="40">
        <v>37.5</v>
      </c>
      <c r="N188" s="40">
        <v>39</v>
      </c>
      <c r="O188" s="40">
        <v>40</v>
      </c>
      <c r="P188" s="40">
        <v>40</v>
      </c>
      <c r="Q188" s="40" t="s">
        <v>472</v>
      </c>
    </row>
    <row r="189" spans="2:17" x14ac:dyDescent="0.2">
      <c r="B189" s="88" t="s">
        <v>420</v>
      </c>
      <c r="C189" s="40">
        <v>31</v>
      </c>
      <c r="D189" s="40">
        <v>37.5</v>
      </c>
      <c r="E189" s="40">
        <v>-0.4</v>
      </c>
      <c r="F189" s="40">
        <v>36.700000000000003</v>
      </c>
      <c r="G189" s="40">
        <v>-2.9</v>
      </c>
      <c r="H189" s="40" t="s">
        <v>472</v>
      </c>
      <c r="I189" s="40">
        <v>35</v>
      </c>
      <c r="J189" s="40">
        <v>35.799999999999997</v>
      </c>
      <c r="K189" s="40">
        <v>37</v>
      </c>
      <c r="L189" s="40">
        <v>37</v>
      </c>
      <c r="M189" s="40">
        <v>39.9</v>
      </c>
      <c r="N189" s="40">
        <v>40</v>
      </c>
      <c r="O189" s="40">
        <v>40</v>
      </c>
      <c r="P189" s="40">
        <v>40.4</v>
      </c>
      <c r="Q189" s="40" t="s">
        <v>472</v>
      </c>
    </row>
    <row r="190" spans="2:17" ht="15" x14ac:dyDescent="0.25">
      <c r="B190" s="102" t="s">
        <v>396</v>
      </c>
      <c r="C190" s="88" t="s">
        <v>471</v>
      </c>
      <c r="D190" s="88" t="s">
        <v>241</v>
      </c>
      <c r="E190" s="88" t="s">
        <v>391</v>
      </c>
      <c r="F190" s="88" t="s">
        <v>392</v>
      </c>
      <c r="G190" s="88" t="s">
        <v>391</v>
      </c>
      <c r="H190" s="88">
        <v>10</v>
      </c>
      <c r="I190" s="88">
        <v>20</v>
      </c>
      <c r="J190" s="88">
        <v>25</v>
      </c>
      <c r="K190" s="88">
        <v>30</v>
      </c>
      <c r="L190" s="88">
        <v>40</v>
      </c>
      <c r="M190" s="88">
        <v>60</v>
      </c>
      <c r="N190" s="88">
        <v>70</v>
      </c>
      <c r="O190" s="88">
        <v>75</v>
      </c>
      <c r="P190" s="88">
        <v>80</v>
      </c>
      <c r="Q190" s="88">
        <v>90</v>
      </c>
    </row>
    <row r="191" spans="2:17" x14ac:dyDescent="0.2">
      <c r="B191" s="88" t="s">
        <v>166</v>
      </c>
      <c r="C191" s="40">
        <v>27</v>
      </c>
      <c r="D191" s="40">
        <v>35</v>
      </c>
      <c r="E191" s="40">
        <v>8.1</v>
      </c>
      <c r="F191" s="40">
        <v>29.8</v>
      </c>
      <c r="G191" s="40">
        <v>0.8</v>
      </c>
      <c r="H191" s="40">
        <v>15</v>
      </c>
      <c r="I191" s="40">
        <v>20.5</v>
      </c>
      <c r="J191" s="40">
        <v>21.9</v>
      </c>
      <c r="K191" s="40">
        <v>23.4</v>
      </c>
      <c r="L191" s="40">
        <v>28.1</v>
      </c>
      <c r="M191" s="40">
        <v>35.200000000000003</v>
      </c>
      <c r="N191" s="40">
        <v>37</v>
      </c>
      <c r="O191" s="40" t="s">
        <v>472</v>
      </c>
      <c r="P191" s="40">
        <v>37.5</v>
      </c>
      <c r="Q191" s="40" t="s">
        <v>472</v>
      </c>
    </row>
    <row r="192" spans="2:17" x14ac:dyDescent="0.2">
      <c r="B192" s="88" t="s">
        <v>419</v>
      </c>
      <c r="C192" s="40">
        <v>33</v>
      </c>
      <c r="D192" s="40">
        <v>35</v>
      </c>
      <c r="E192" s="40">
        <v>0</v>
      </c>
      <c r="F192" s="40">
        <v>29.1</v>
      </c>
      <c r="G192" s="40">
        <v>-3.7</v>
      </c>
      <c r="H192" s="40">
        <v>15</v>
      </c>
      <c r="I192" s="40">
        <v>21</v>
      </c>
      <c r="J192" s="40">
        <v>23.8</v>
      </c>
      <c r="K192" s="40">
        <v>25</v>
      </c>
      <c r="L192" s="40">
        <v>30</v>
      </c>
      <c r="M192" s="40">
        <v>36</v>
      </c>
      <c r="N192" s="40">
        <v>37</v>
      </c>
      <c r="O192" s="40" t="s">
        <v>472</v>
      </c>
      <c r="P192" s="40">
        <v>37.5</v>
      </c>
      <c r="Q192" s="40" t="s">
        <v>472</v>
      </c>
    </row>
    <row r="193" spans="2:17" x14ac:dyDescent="0.2">
      <c r="B193" s="88" t="s">
        <v>168</v>
      </c>
      <c r="C193" s="40">
        <v>84</v>
      </c>
      <c r="D193" s="40">
        <v>35</v>
      </c>
      <c r="E193" s="40">
        <v>0.9</v>
      </c>
      <c r="F193" s="40">
        <v>30.1</v>
      </c>
      <c r="G193" s="40">
        <v>1.9</v>
      </c>
      <c r="H193" s="40">
        <v>15</v>
      </c>
      <c r="I193" s="40">
        <v>20</v>
      </c>
      <c r="J193" s="40">
        <v>22.5</v>
      </c>
      <c r="K193" s="40">
        <v>24.3</v>
      </c>
      <c r="L193" s="40">
        <v>30</v>
      </c>
      <c r="M193" s="40">
        <v>35</v>
      </c>
      <c r="N193" s="40">
        <v>36.9</v>
      </c>
      <c r="O193" s="40">
        <v>37.5</v>
      </c>
      <c r="P193" s="40">
        <v>37.5</v>
      </c>
      <c r="Q193" s="40" t="s">
        <v>472</v>
      </c>
    </row>
    <row r="194" spans="2:17" x14ac:dyDescent="0.2">
      <c r="B194" s="88" t="s">
        <v>420</v>
      </c>
      <c r="C194" s="40">
        <v>31</v>
      </c>
      <c r="D194" s="40">
        <v>35</v>
      </c>
      <c r="E194" s="40">
        <v>3.4</v>
      </c>
      <c r="F194" s="40">
        <v>29.7</v>
      </c>
      <c r="G194" s="40">
        <v>-1.3</v>
      </c>
      <c r="H194" s="40">
        <v>14.1</v>
      </c>
      <c r="I194" s="40">
        <v>20</v>
      </c>
      <c r="J194" s="40">
        <v>23</v>
      </c>
      <c r="K194" s="40">
        <v>25</v>
      </c>
      <c r="L194" s="40">
        <v>30</v>
      </c>
      <c r="M194" s="40">
        <v>35</v>
      </c>
      <c r="N194" s="40">
        <v>37</v>
      </c>
      <c r="O194" s="40" t="s">
        <v>472</v>
      </c>
      <c r="P194" s="40">
        <v>37.5</v>
      </c>
      <c r="Q194" s="40" t="s">
        <v>472</v>
      </c>
    </row>
    <row r="195" spans="2:17" ht="15" x14ac:dyDescent="0.25">
      <c r="B195" s="102" t="s">
        <v>393</v>
      </c>
      <c r="C195" s="88" t="s">
        <v>471</v>
      </c>
      <c r="D195" s="88" t="s">
        <v>241</v>
      </c>
      <c r="E195" s="88" t="s">
        <v>391</v>
      </c>
      <c r="F195" s="88" t="s">
        <v>392</v>
      </c>
      <c r="G195" s="88" t="s">
        <v>391</v>
      </c>
      <c r="H195" s="88">
        <v>10</v>
      </c>
      <c r="I195" s="88">
        <v>20</v>
      </c>
      <c r="J195" s="88">
        <v>25</v>
      </c>
      <c r="K195" s="88">
        <v>30</v>
      </c>
      <c r="L195" s="88">
        <v>40</v>
      </c>
      <c r="M195" s="88">
        <v>60</v>
      </c>
      <c r="N195" s="88">
        <v>70</v>
      </c>
      <c r="O195" s="88">
        <v>75</v>
      </c>
      <c r="P195" s="88">
        <v>80</v>
      </c>
      <c r="Q195" s="88">
        <v>90</v>
      </c>
    </row>
    <row r="196" spans="2:17" x14ac:dyDescent="0.2">
      <c r="B196" s="88" t="s">
        <v>166</v>
      </c>
      <c r="C196" s="40">
        <v>34</v>
      </c>
      <c r="D196" s="40">
        <v>37.6</v>
      </c>
      <c r="E196" s="40">
        <v>0.2</v>
      </c>
      <c r="F196" s="40">
        <v>39.1</v>
      </c>
      <c r="G196" s="40">
        <v>0.2</v>
      </c>
      <c r="H196" s="40">
        <v>35</v>
      </c>
      <c r="I196" s="40">
        <v>35.1</v>
      </c>
      <c r="J196" s="40">
        <v>36.200000000000003</v>
      </c>
      <c r="K196" s="40">
        <v>36.9</v>
      </c>
      <c r="L196" s="40">
        <v>37.5</v>
      </c>
      <c r="M196" s="40">
        <v>39</v>
      </c>
      <c r="N196" s="40">
        <v>40</v>
      </c>
      <c r="O196" s="40">
        <v>40</v>
      </c>
      <c r="P196" s="40">
        <v>40.6</v>
      </c>
      <c r="Q196" s="40" t="s">
        <v>472</v>
      </c>
    </row>
    <row r="197" spans="2:17" x14ac:dyDescent="0.2">
      <c r="B197" s="88" t="s">
        <v>419</v>
      </c>
      <c r="C197" s="40">
        <v>40</v>
      </c>
      <c r="D197" s="40">
        <v>37.5</v>
      </c>
      <c r="E197" s="40">
        <v>0</v>
      </c>
      <c r="F197" s="40">
        <v>38.200000000000003</v>
      </c>
      <c r="G197" s="40">
        <v>0.2</v>
      </c>
      <c r="H197" s="40">
        <v>35</v>
      </c>
      <c r="I197" s="40">
        <v>35.299999999999997</v>
      </c>
      <c r="J197" s="40">
        <v>36.9</v>
      </c>
      <c r="K197" s="40">
        <v>37</v>
      </c>
      <c r="L197" s="40">
        <v>37</v>
      </c>
      <c r="M197" s="40">
        <v>37.5</v>
      </c>
      <c r="N197" s="40">
        <v>39.299999999999997</v>
      </c>
      <c r="O197" s="40">
        <v>40</v>
      </c>
      <c r="P197" s="40">
        <v>40</v>
      </c>
      <c r="Q197" s="40" t="s">
        <v>472</v>
      </c>
    </row>
    <row r="198" spans="2:17" x14ac:dyDescent="0.2">
      <c r="B198" s="88" t="s">
        <v>168</v>
      </c>
      <c r="C198" s="40">
        <v>105</v>
      </c>
      <c r="D198" s="40">
        <v>37.5</v>
      </c>
      <c r="E198" s="40">
        <v>0</v>
      </c>
      <c r="F198" s="40">
        <v>38.1</v>
      </c>
      <c r="G198" s="40">
        <v>-1.5</v>
      </c>
      <c r="H198" s="40">
        <v>35</v>
      </c>
      <c r="I198" s="40">
        <v>35</v>
      </c>
      <c r="J198" s="40">
        <v>35</v>
      </c>
      <c r="K198" s="40">
        <v>36</v>
      </c>
      <c r="L198" s="40">
        <v>36.799999999999997</v>
      </c>
      <c r="M198" s="40">
        <v>37.5</v>
      </c>
      <c r="N198" s="40">
        <v>39</v>
      </c>
      <c r="O198" s="40">
        <v>39.700000000000003</v>
      </c>
      <c r="P198" s="40">
        <v>40</v>
      </c>
      <c r="Q198" s="40">
        <v>41</v>
      </c>
    </row>
    <row r="199" spans="2:17" x14ac:dyDescent="0.2">
      <c r="B199" s="88" t="s">
        <v>420</v>
      </c>
      <c r="C199" s="40">
        <v>45</v>
      </c>
      <c r="D199" s="40">
        <v>37.5</v>
      </c>
      <c r="E199" s="40">
        <v>0</v>
      </c>
      <c r="F199" s="40">
        <v>38.700000000000003</v>
      </c>
      <c r="G199" s="40">
        <v>-1.3</v>
      </c>
      <c r="H199" s="40">
        <v>35</v>
      </c>
      <c r="I199" s="40">
        <v>35</v>
      </c>
      <c r="J199" s="40">
        <v>36</v>
      </c>
      <c r="K199" s="40">
        <v>37</v>
      </c>
      <c r="L199" s="40">
        <v>37</v>
      </c>
      <c r="M199" s="40">
        <v>38.5</v>
      </c>
      <c r="N199" s="40">
        <v>40</v>
      </c>
      <c r="O199" s="40">
        <v>40</v>
      </c>
      <c r="P199" s="40">
        <v>40</v>
      </c>
      <c r="Q199" s="40" t="s">
        <v>472</v>
      </c>
    </row>
    <row r="200" spans="2:17" ht="15" x14ac:dyDescent="0.25">
      <c r="B200" s="102" t="s">
        <v>394</v>
      </c>
      <c r="C200" s="88" t="s">
        <v>471</v>
      </c>
      <c r="D200" s="88" t="s">
        <v>241</v>
      </c>
      <c r="E200" s="88" t="s">
        <v>391</v>
      </c>
      <c r="F200" s="88" t="s">
        <v>392</v>
      </c>
      <c r="G200" s="88" t="s">
        <v>391</v>
      </c>
      <c r="H200" s="88">
        <v>10</v>
      </c>
      <c r="I200" s="88">
        <v>20</v>
      </c>
      <c r="J200" s="88">
        <v>25</v>
      </c>
      <c r="K200" s="88">
        <v>30</v>
      </c>
      <c r="L200" s="88">
        <v>40</v>
      </c>
      <c r="M200" s="88">
        <v>60</v>
      </c>
      <c r="N200" s="88">
        <v>70</v>
      </c>
      <c r="O200" s="88">
        <v>75</v>
      </c>
      <c r="P200" s="88">
        <v>80</v>
      </c>
      <c r="Q200" s="88">
        <v>90</v>
      </c>
    </row>
    <row r="201" spans="2:17" x14ac:dyDescent="0.2">
      <c r="B201" s="88" t="s">
        <v>166</v>
      </c>
      <c r="C201" s="40">
        <v>15</v>
      </c>
      <c r="D201" s="40">
        <v>20.6</v>
      </c>
      <c r="E201" s="40">
        <v>-0.6</v>
      </c>
      <c r="F201" s="40">
        <v>18.5</v>
      </c>
      <c r="G201" s="40">
        <v>-5.2</v>
      </c>
      <c r="H201" s="40" t="s">
        <v>472</v>
      </c>
      <c r="I201" s="40" t="s">
        <v>472</v>
      </c>
      <c r="J201" s="40">
        <v>13.8</v>
      </c>
      <c r="K201" s="40">
        <v>15.3</v>
      </c>
      <c r="L201" s="40">
        <v>18.5</v>
      </c>
      <c r="M201" s="40">
        <v>21.8</v>
      </c>
      <c r="N201" s="40">
        <v>23.1</v>
      </c>
      <c r="O201" s="40">
        <v>25</v>
      </c>
      <c r="P201" s="40" t="s">
        <v>472</v>
      </c>
      <c r="Q201" s="40" t="s">
        <v>472</v>
      </c>
    </row>
    <row r="202" spans="2:17" x14ac:dyDescent="0.2">
      <c r="B202" s="88" t="s">
        <v>419</v>
      </c>
      <c r="C202" s="40">
        <v>16</v>
      </c>
      <c r="D202" s="40">
        <v>21.2</v>
      </c>
      <c r="E202" s="40">
        <v>6.1</v>
      </c>
      <c r="F202" s="40">
        <v>19.100000000000001</v>
      </c>
      <c r="G202" s="40">
        <v>5.5</v>
      </c>
      <c r="H202" s="40" t="s">
        <v>472</v>
      </c>
      <c r="I202" s="40">
        <v>13.5</v>
      </c>
      <c r="J202" s="40">
        <v>15</v>
      </c>
      <c r="K202" s="40">
        <v>15.5</v>
      </c>
      <c r="L202" s="40">
        <v>20</v>
      </c>
      <c r="M202" s="40">
        <v>23.8</v>
      </c>
      <c r="N202" s="40">
        <v>25</v>
      </c>
      <c r="O202" s="40">
        <v>25.5</v>
      </c>
      <c r="P202" s="40" t="s">
        <v>472</v>
      </c>
      <c r="Q202" s="40" t="s">
        <v>472</v>
      </c>
    </row>
    <row r="203" spans="2:17" x14ac:dyDescent="0.2">
      <c r="B203" s="88" t="s">
        <v>168</v>
      </c>
      <c r="C203" s="40">
        <v>46</v>
      </c>
      <c r="D203" s="40">
        <v>20.2</v>
      </c>
      <c r="E203" s="40">
        <v>0.9</v>
      </c>
      <c r="F203" s="40">
        <v>19.7</v>
      </c>
      <c r="G203" s="40">
        <v>2.8</v>
      </c>
      <c r="H203" s="40">
        <v>9.8000000000000007</v>
      </c>
      <c r="I203" s="40">
        <v>12.2</v>
      </c>
      <c r="J203" s="40">
        <v>14.4</v>
      </c>
      <c r="K203" s="40">
        <v>16</v>
      </c>
      <c r="L203" s="40">
        <v>18.3</v>
      </c>
      <c r="M203" s="40">
        <v>22.5</v>
      </c>
      <c r="N203" s="40">
        <v>24.2</v>
      </c>
      <c r="O203" s="40">
        <v>25.2</v>
      </c>
      <c r="P203" s="40">
        <v>27.5</v>
      </c>
      <c r="Q203" s="40" t="s">
        <v>472</v>
      </c>
    </row>
    <row r="204" spans="2:17" x14ac:dyDescent="0.2">
      <c r="B204" s="88" t="s">
        <v>420</v>
      </c>
      <c r="C204" s="40">
        <v>17</v>
      </c>
      <c r="D204" s="40">
        <v>18.399999999999999</v>
      </c>
      <c r="E204" s="40">
        <v>-12.2</v>
      </c>
      <c r="F204" s="40">
        <v>18.7</v>
      </c>
      <c r="G204" s="40">
        <v>-7.3</v>
      </c>
      <c r="H204" s="40" t="s">
        <v>472</v>
      </c>
      <c r="I204" s="40" t="s">
        <v>472</v>
      </c>
      <c r="J204" s="40">
        <v>12</v>
      </c>
      <c r="K204" s="40">
        <v>14.1</v>
      </c>
      <c r="L204" s="40">
        <v>16</v>
      </c>
      <c r="M204" s="40">
        <v>22</v>
      </c>
      <c r="N204" s="40">
        <v>24</v>
      </c>
      <c r="O204" s="40">
        <v>24.9</v>
      </c>
      <c r="P204" s="40" t="s">
        <v>472</v>
      </c>
      <c r="Q204" s="40" t="s">
        <v>472</v>
      </c>
    </row>
    <row r="206" spans="2:17" x14ac:dyDescent="0.2">
      <c r="B206" s="88" t="s">
        <v>118</v>
      </c>
      <c r="C206" s="88" t="s">
        <v>390</v>
      </c>
      <c r="D206" s="88" t="s">
        <v>395</v>
      </c>
      <c r="E206" s="88" t="s">
        <v>396</v>
      </c>
      <c r="F206" s="88" t="s">
        <v>393</v>
      </c>
      <c r="G206" s="88" t="s">
        <v>394</v>
      </c>
    </row>
    <row r="207" spans="2:17" x14ac:dyDescent="0.2">
      <c r="B207" s="88" t="s">
        <v>166</v>
      </c>
      <c r="C207" s="40">
        <v>32.700000000000003</v>
      </c>
      <c r="D207" s="40">
        <v>36.4</v>
      </c>
      <c r="E207" s="40">
        <v>29.8</v>
      </c>
      <c r="F207" s="40">
        <v>39.1</v>
      </c>
      <c r="G207" s="40">
        <v>18.5</v>
      </c>
    </row>
    <row r="208" spans="2:17" x14ac:dyDescent="0.2">
      <c r="B208" s="88" t="s">
        <v>419</v>
      </c>
      <c r="C208" s="40">
        <v>32.6</v>
      </c>
      <c r="D208" s="40">
        <v>37.5</v>
      </c>
      <c r="E208" s="40">
        <v>29.1</v>
      </c>
      <c r="F208" s="40">
        <v>38.200000000000003</v>
      </c>
      <c r="G208" s="40">
        <v>19.100000000000001</v>
      </c>
    </row>
    <row r="209" spans="1:8" x14ac:dyDescent="0.2">
      <c r="B209" s="88" t="s">
        <v>168</v>
      </c>
      <c r="C209" s="84">
        <v>32.5</v>
      </c>
      <c r="D209" s="84">
        <v>35.5</v>
      </c>
      <c r="E209" s="84">
        <v>30.1</v>
      </c>
      <c r="F209" s="84">
        <v>38.1</v>
      </c>
      <c r="G209" s="84">
        <v>19.7</v>
      </c>
    </row>
    <row r="210" spans="1:8" x14ac:dyDescent="0.2">
      <c r="B210" s="88" t="s">
        <v>420</v>
      </c>
      <c r="C210" s="40">
        <v>33.200000000000003</v>
      </c>
      <c r="D210" s="40">
        <v>36.700000000000003</v>
      </c>
      <c r="E210" s="40">
        <v>29.7</v>
      </c>
      <c r="F210" s="40">
        <v>38.700000000000003</v>
      </c>
      <c r="G210" s="40">
        <v>18.7</v>
      </c>
    </row>
    <row r="213" spans="1:8" x14ac:dyDescent="0.2">
      <c r="B213" s="105" t="s">
        <v>474</v>
      </c>
    </row>
    <row r="214" spans="1:8" ht="15" x14ac:dyDescent="0.25">
      <c r="A214" s="105">
        <v>2.21</v>
      </c>
      <c r="B214" s="16" t="s">
        <v>386</v>
      </c>
    </row>
    <row r="215" spans="1:8" x14ac:dyDescent="0.2">
      <c r="B215" s="88"/>
      <c r="C215" s="88">
        <v>2014</v>
      </c>
      <c r="D215" s="88">
        <v>2015</v>
      </c>
      <c r="E215" s="88">
        <v>2016</v>
      </c>
      <c r="F215" s="88">
        <v>2017</v>
      </c>
      <c r="G215" s="88">
        <v>2018</v>
      </c>
      <c r="H215" s="88">
        <v>2019</v>
      </c>
    </row>
    <row r="216" spans="1:8" x14ac:dyDescent="0.2">
      <c r="B216" s="88" t="s">
        <v>166</v>
      </c>
      <c r="C216" s="40">
        <v>400</v>
      </c>
      <c r="D216" s="40">
        <v>385</v>
      </c>
      <c r="E216" s="40">
        <v>385</v>
      </c>
      <c r="F216" s="40">
        <v>370</v>
      </c>
      <c r="G216" s="40">
        <v>365</v>
      </c>
      <c r="H216" s="40">
        <v>360</v>
      </c>
    </row>
    <row r="217" spans="1:8" x14ac:dyDescent="0.2">
      <c r="B217" s="88" t="s">
        <v>419</v>
      </c>
      <c r="C217" s="40">
        <v>500</v>
      </c>
      <c r="D217" s="40">
        <v>480</v>
      </c>
      <c r="E217" s="40">
        <v>500</v>
      </c>
      <c r="F217" s="40">
        <v>460</v>
      </c>
      <c r="G217" s="40">
        <v>510</v>
      </c>
      <c r="H217" s="40">
        <v>510</v>
      </c>
    </row>
    <row r="218" spans="1:8" x14ac:dyDescent="0.2">
      <c r="B218" s="88" t="s">
        <v>168</v>
      </c>
      <c r="C218" s="40">
        <v>1170</v>
      </c>
      <c r="D218" s="40">
        <v>1260</v>
      </c>
      <c r="E218" s="40">
        <v>1410</v>
      </c>
      <c r="F218" s="40">
        <v>1350</v>
      </c>
      <c r="G218" s="40">
        <v>1225</v>
      </c>
      <c r="H218" s="40">
        <v>1530</v>
      </c>
    </row>
    <row r="219" spans="1:8" x14ac:dyDescent="0.2">
      <c r="B219" s="88" t="s">
        <v>169</v>
      </c>
      <c r="C219" s="40">
        <v>625</v>
      </c>
      <c r="D219" s="40">
        <v>565</v>
      </c>
      <c r="E219" s="40">
        <v>550</v>
      </c>
      <c r="F219" s="40">
        <v>545</v>
      </c>
      <c r="G219" s="40">
        <v>485</v>
      </c>
      <c r="H219" s="40">
        <v>490</v>
      </c>
    </row>
    <row r="221" spans="1:8" ht="15" x14ac:dyDescent="0.25">
      <c r="B221" s="16" t="s">
        <v>475</v>
      </c>
    </row>
    <row r="222" spans="1:8" x14ac:dyDescent="0.2">
      <c r="B222" s="88"/>
      <c r="C222" s="88">
        <v>2014</v>
      </c>
      <c r="D222" s="88">
        <v>2015</v>
      </c>
      <c r="E222" s="88">
        <v>2016</v>
      </c>
      <c r="F222" s="88">
        <v>2017</v>
      </c>
      <c r="G222" s="88">
        <v>2018</v>
      </c>
      <c r="H222" s="88">
        <v>2019</v>
      </c>
    </row>
    <row r="223" spans="1:8" x14ac:dyDescent="0.2">
      <c r="B223" s="88" t="s">
        <v>166</v>
      </c>
      <c r="C223" s="40">
        <v>280</v>
      </c>
      <c r="D223" s="40">
        <v>320</v>
      </c>
      <c r="E223" s="40">
        <v>365</v>
      </c>
      <c r="F223" s="40">
        <v>370</v>
      </c>
      <c r="G223" s="40">
        <v>335</v>
      </c>
      <c r="H223" s="40">
        <v>365</v>
      </c>
    </row>
    <row r="224" spans="1:8" x14ac:dyDescent="0.2">
      <c r="B224" s="88" t="s">
        <v>419</v>
      </c>
      <c r="C224" s="40">
        <v>385</v>
      </c>
      <c r="D224" s="40">
        <v>450</v>
      </c>
      <c r="E224" s="40">
        <v>420</v>
      </c>
      <c r="F224" s="40">
        <v>460</v>
      </c>
      <c r="G224" s="40">
        <v>430</v>
      </c>
      <c r="H224" s="40">
        <v>440</v>
      </c>
    </row>
    <row r="225" spans="2:8" x14ac:dyDescent="0.2">
      <c r="B225" s="88" t="s">
        <v>168</v>
      </c>
      <c r="C225" s="40">
        <v>860</v>
      </c>
      <c r="D225" s="40">
        <v>985</v>
      </c>
      <c r="E225" s="40">
        <v>995</v>
      </c>
      <c r="F225" s="40">
        <v>1180</v>
      </c>
      <c r="G225" s="40">
        <v>1185</v>
      </c>
      <c r="H225" s="40">
        <v>1310</v>
      </c>
    </row>
    <row r="226" spans="2:8" x14ac:dyDescent="0.2">
      <c r="B226" s="88" t="s">
        <v>169</v>
      </c>
      <c r="C226" s="40">
        <v>480</v>
      </c>
      <c r="D226" s="40">
        <v>505</v>
      </c>
      <c r="E226" s="40">
        <v>450</v>
      </c>
      <c r="F226" s="40">
        <v>515</v>
      </c>
      <c r="G226" s="40">
        <v>450</v>
      </c>
      <c r="H226" s="40">
        <v>495</v>
      </c>
    </row>
    <row r="229" spans="2:8" ht="15" x14ac:dyDescent="0.25">
      <c r="B229" s="16" t="s">
        <v>476</v>
      </c>
    </row>
    <row r="230" spans="2:8" x14ac:dyDescent="0.2">
      <c r="B230" s="88"/>
      <c r="C230" s="88">
        <v>2014</v>
      </c>
      <c r="D230" s="88">
        <v>2015</v>
      </c>
      <c r="E230" s="88">
        <v>2016</v>
      </c>
      <c r="F230" s="88">
        <v>2017</v>
      </c>
      <c r="G230" s="88">
        <v>2018</v>
      </c>
      <c r="H230" s="88">
        <v>2019</v>
      </c>
    </row>
    <row r="231" spans="2:8" x14ac:dyDescent="0.2">
      <c r="B231" s="88" t="s">
        <v>166</v>
      </c>
      <c r="C231" s="40">
        <v>3535</v>
      </c>
      <c r="D231" s="40">
        <v>3615</v>
      </c>
      <c r="E231" s="40">
        <v>3685</v>
      </c>
      <c r="F231" s="40">
        <v>3670</v>
      </c>
      <c r="G231" s="40">
        <v>3655</v>
      </c>
      <c r="H231" s="40">
        <v>3690</v>
      </c>
    </row>
    <row r="232" spans="2:8" x14ac:dyDescent="0.2">
      <c r="B232" s="88" t="s">
        <v>419</v>
      </c>
      <c r="C232" s="40">
        <v>3600</v>
      </c>
      <c r="D232" s="40">
        <v>3660</v>
      </c>
      <c r="E232" s="40">
        <v>3765</v>
      </c>
      <c r="F232" s="40">
        <v>3745</v>
      </c>
      <c r="G232" s="40">
        <v>3785</v>
      </c>
      <c r="H232" s="40">
        <v>3870</v>
      </c>
    </row>
    <row r="233" spans="2:8" x14ac:dyDescent="0.2">
      <c r="B233" s="88" t="s">
        <v>168</v>
      </c>
      <c r="C233" s="40">
        <v>9255</v>
      </c>
      <c r="D233" s="40">
        <v>9550</v>
      </c>
      <c r="E233" s="40">
        <v>10065</v>
      </c>
      <c r="F233" s="40">
        <v>10480</v>
      </c>
      <c r="G233" s="40">
        <v>10430</v>
      </c>
      <c r="H233" s="40">
        <v>10745</v>
      </c>
    </row>
    <row r="234" spans="2:8" x14ac:dyDescent="0.2">
      <c r="B234" s="88" t="s">
        <v>169</v>
      </c>
      <c r="C234" s="40">
        <v>5570</v>
      </c>
      <c r="D234" s="40">
        <v>5610</v>
      </c>
      <c r="E234" s="40">
        <v>5705</v>
      </c>
      <c r="F234" s="40">
        <v>5790</v>
      </c>
      <c r="G234" s="40">
        <v>5710</v>
      </c>
      <c r="H234" s="40">
        <v>5760</v>
      </c>
    </row>
    <row r="236" spans="2:8" ht="15" x14ac:dyDescent="0.25">
      <c r="B236" s="16" t="s">
        <v>477</v>
      </c>
    </row>
    <row r="237" spans="2:8" x14ac:dyDescent="0.2">
      <c r="B237" s="88"/>
      <c r="C237" s="88">
        <v>2014</v>
      </c>
      <c r="D237" s="88">
        <v>2015</v>
      </c>
      <c r="E237" s="88">
        <v>2016</v>
      </c>
      <c r="F237" s="88">
        <v>2017</v>
      </c>
      <c r="G237" s="88">
        <v>2018</v>
      </c>
      <c r="H237" s="88">
        <v>2019</v>
      </c>
    </row>
    <row r="238" spans="2:8" x14ac:dyDescent="0.2">
      <c r="B238" s="88" t="s">
        <v>166</v>
      </c>
      <c r="C238" s="40">
        <v>15</v>
      </c>
      <c r="D238" s="40">
        <v>10</v>
      </c>
      <c r="E238" s="40">
        <v>15</v>
      </c>
      <c r="F238" s="40">
        <v>15</v>
      </c>
      <c r="G238" s="40">
        <v>20</v>
      </c>
      <c r="H238" s="40">
        <v>10</v>
      </c>
    </row>
    <row r="239" spans="2:8" x14ac:dyDescent="0.2">
      <c r="B239" s="88" t="s">
        <v>419</v>
      </c>
      <c r="C239" s="40">
        <v>25</v>
      </c>
      <c r="D239" s="40">
        <v>25</v>
      </c>
      <c r="E239" s="40">
        <v>30</v>
      </c>
      <c r="F239" s="40">
        <v>20</v>
      </c>
      <c r="G239" s="40">
        <v>20</v>
      </c>
      <c r="H239" s="40">
        <v>10</v>
      </c>
    </row>
    <row r="240" spans="2:8" x14ac:dyDescent="0.2">
      <c r="B240" s="88" t="s">
        <v>168</v>
      </c>
      <c r="C240" s="40">
        <v>45</v>
      </c>
      <c r="D240" s="40">
        <v>40</v>
      </c>
      <c r="E240" s="40">
        <v>45</v>
      </c>
      <c r="F240" s="40">
        <v>50</v>
      </c>
      <c r="G240" s="40">
        <v>55</v>
      </c>
      <c r="H240" s="40"/>
    </row>
    <row r="241" spans="2:14" x14ac:dyDescent="0.2">
      <c r="B241" s="88" t="s">
        <v>169</v>
      </c>
      <c r="C241" s="40">
        <v>20</v>
      </c>
      <c r="D241" s="40">
        <v>20</v>
      </c>
      <c r="E241" s="40">
        <v>25</v>
      </c>
      <c r="F241" s="40">
        <v>25</v>
      </c>
      <c r="G241" s="40">
        <v>30</v>
      </c>
      <c r="H241" s="40">
        <v>25</v>
      </c>
    </row>
    <row r="243" spans="2:14" ht="15" x14ac:dyDescent="0.25">
      <c r="B243" s="16" t="s">
        <v>478</v>
      </c>
    </row>
    <row r="244" spans="2:14" x14ac:dyDescent="0.2">
      <c r="B244" s="88"/>
      <c r="C244" s="88">
        <v>2014</v>
      </c>
      <c r="D244" s="88">
        <v>2015</v>
      </c>
      <c r="E244" s="88">
        <v>2016</v>
      </c>
      <c r="F244" s="88">
        <v>2017</v>
      </c>
      <c r="G244" s="88">
        <v>2018</v>
      </c>
      <c r="H244" s="88">
        <v>2019</v>
      </c>
    </row>
    <row r="245" spans="2:14" x14ac:dyDescent="0.2">
      <c r="B245" s="88" t="s">
        <v>166</v>
      </c>
      <c r="C245" s="40">
        <v>350</v>
      </c>
      <c r="D245" s="40">
        <v>350</v>
      </c>
      <c r="E245" s="40">
        <v>355</v>
      </c>
      <c r="F245" s="40">
        <v>365</v>
      </c>
      <c r="G245" s="40">
        <v>370</v>
      </c>
      <c r="H245" s="40">
        <v>370</v>
      </c>
    </row>
    <row r="246" spans="2:14" x14ac:dyDescent="0.2">
      <c r="B246" s="88" t="s">
        <v>419</v>
      </c>
      <c r="C246" s="40">
        <v>525</v>
      </c>
      <c r="D246" s="40">
        <v>535</v>
      </c>
      <c r="E246" s="40">
        <v>535</v>
      </c>
      <c r="F246" s="40">
        <v>540</v>
      </c>
      <c r="G246" s="40">
        <v>540</v>
      </c>
      <c r="H246" s="40">
        <v>570</v>
      </c>
    </row>
    <row r="247" spans="2:14" x14ac:dyDescent="0.2">
      <c r="B247" s="88" t="s">
        <v>168</v>
      </c>
      <c r="C247" s="40">
        <v>1050</v>
      </c>
      <c r="D247" s="40">
        <v>1035</v>
      </c>
      <c r="E247" s="40">
        <v>1085</v>
      </c>
      <c r="F247" s="40">
        <v>1110</v>
      </c>
      <c r="G247" s="40">
        <v>1080</v>
      </c>
      <c r="H247" s="40">
        <v>1075</v>
      </c>
    </row>
    <row r="248" spans="2:14" x14ac:dyDescent="0.2">
      <c r="B248" s="88" t="s">
        <v>169</v>
      </c>
      <c r="C248" s="40">
        <v>635</v>
      </c>
      <c r="D248" s="40">
        <v>640</v>
      </c>
      <c r="E248" s="40">
        <v>650</v>
      </c>
      <c r="F248" s="40">
        <v>640</v>
      </c>
      <c r="G248" s="40">
        <v>630</v>
      </c>
      <c r="H248" s="40">
        <v>645</v>
      </c>
    </row>
    <row r="250" spans="2:14" ht="15" x14ac:dyDescent="0.25">
      <c r="C250" s="16" t="s">
        <v>479</v>
      </c>
    </row>
    <row r="251" spans="2:14" x14ac:dyDescent="0.2">
      <c r="B251" s="88" t="s">
        <v>480</v>
      </c>
      <c r="C251" s="88" t="s">
        <v>481</v>
      </c>
      <c r="D251" s="88" t="s">
        <v>49</v>
      </c>
      <c r="E251" s="88" t="s">
        <v>482</v>
      </c>
      <c r="F251" s="88" t="s">
        <v>483</v>
      </c>
      <c r="G251" s="88" t="s">
        <v>484</v>
      </c>
      <c r="H251" s="88" t="s">
        <v>485</v>
      </c>
      <c r="I251" s="88" t="s">
        <v>486</v>
      </c>
      <c r="J251" s="88" t="s">
        <v>487</v>
      </c>
      <c r="K251" s="88" t="s">
        <v>488</v>
      </c>
      <c r="L251" s="88" t="s">
        <v>489</v>
      </c>
      <c r="M251" s="88" t="s">
        <v>490</v>
      </c>
      <c r="N251" s="88" t="s">
        <v>491</v>
      </c>
    </row>
    <row r="252" spans="2:14" x14ac:dyDescent="0.2">
      <c r="B252" s="88">
        <v>2014</v>
      </c>
      <c r="C252" s="88" t="s">
        <v>166</v>
      </c>
      <c r="D252" s="40">
        <v>400</v>
      </c>
      <c r="E252" s="40">
        <v>370</v>
      </c>
      <c r="F252" s="40">
        <v>92.5</v>
      </c>
      <c r="G252" s="40">
        <v>310</v>
      </c>
      <c r="H252" s="40">
        <v>77.5</v>
      </c>
      <c r="I252" s="40">
        <v>265</v>
      </c>
      <c r="J252" s="40">
        <v>66.3</v>
      </c>
      <c r="K252" s="40">
        <v>210</v>
      </c>
      <c r="L252" s="40">
        <v>52.5</v>
      </c>
      <c r="M252" s="40">
        <v>195</v>
      </c>
      <c r="N252" s="40">
        <v>48.8</v>
      </c>
    </row>
    <row r="253" spans="2:14" x14ac:dyDescent="0.2">
      <c r="B253" s="88">
        <v>2014</v>
      </c>
      <c r="C253" s="88" t="s">
        <v>419</v>
      </c>
      <c r="D253" s="40">
        <v>500</v>
      </c>
      <c r="E253" s="40">
        <v>455</v>
      </c>
      <c r="F253" s="40">
        <v>91</v>
      </c>
      <c r="G253" s="40">
        <v>370</v>
      </c>
      <c r="H253" s="40">
        <v>74</v>
      </c>
      <c r="I253" s="40">
        <v>285</v>
      </c>
      <c r="J253" s="40">
        <v>57</v>
      </c>
      <c r="K253" s="40">
        <v>240</v>
      </c>
      <c r="L253" s="40">
        <v>48</v>
      </c>
      <c r="M253" s="40">
        <v>200</v>
      </c>
      <c r="N253" s="40">
        <v>40</v>
      </c>
    </row>
    <row r="254" spans="2:14" x14ac:dyDescent="0.2">
      <c r="B254" s="88">
        <v>2014</v>
      </c>
      <c r="C254" s="88" t="s">
        <v>168</v>
      </c>
      <c r="D254" s="40">
        <v>1170</v>
      </c>
      <c r="E254" s="40">
        <v>1110</v>
      </c>
      <c r="F254" s="40">
        <v>94.9</v>
      </c>
      <c r="G254" s="40">
        <v>920</v>
      </c>
      <c r="H254" s="40">
        <v>78.599999999999994</v>
      </c>
      <c r="I254" s="40">
        <v>725</v>
      </c>
      <c r="J254" s="40">
        <v>62</v>
      </c>
      <c r="K254" s="40">
        <v>560</v>
      </c>
      <c r="L254" s="40">
        <v>47.9</v>
      </c>
      <c r="M254" s="40">
        <v>495</v>
      </c>
      <c r="N254" s="40">
        <v>42.3</v>
      </c>
    </row>
    <row r="255" spans="2:14" x14ac:dyDescent="0.2">
      <c r="B255" s="88">
        <v>2014</v>
      </c>
      <c r="C255" s="88" t="s">
        <v>169</v>
      </c>
      <c r="D255" s="40">
        <v>625</v>
      </c>
      <c r="E255" s="40">
        <v>590</v>
      </c>
      <c r="F255" s="40">
        <v>94.4</v>
      </c>
      <c r="G255" s="40">
        <v>500</v>
      </c>
      <c r="H255" s="40">
        <v>80</v>
      </c>
      <c r="I255" s="40">
        <v>410</v>
      </c>
      <c r="J255" s="40">
        <v>65.599999999999994</v>
      </c>
      <c r="K255" s="40">
        <v>345</v>
      </c>
      <c r="L255" s="40">
        <v>55.2</v>
      </c>
      <c r="M255" s="40">
        <v>295</v>
      </c>
      <c r="N255" s="40">
        <v>47.2</v>
      </c>
    </row>
    <row r="256" spans="2:14" x14ac:dyDescent="0.2">
      <c r="B256" s="88">
        <v>2015</v>
      </c>
      <c r="C256" s="88" t="s">
        <v>166</v>
      </c>
      <c r="D256" s="40">
        <v>385</v>
      </c>
      <c r="E256" s="40">
        <v>365</v>
      </c>
      <c r="F256" s="40">
        <v>94.8</v>
      </c>
      <c r="G256" s="40">
        <v>290</v>
      </c>
      <c r="H256" s="40">
        <v>75.3</v>
      </c>
      <c r="I256" s="40">
        <v>225</v>
      </c>
      <c r="J256" s="40">
        <v>58.4</v>
      </c>
      <c r="K256" s="40">
        <v>190</v>
      </c>
      <c r="L256" s="40">
        <v>49.4</v>
      </c>
      <c r="M256" s="40" t="s">
        <v>492</v>
      </c>
      <c r="N256" s="40" t="s">
        <v>492</v>
      </c>
    </row>
    <row r="257" spans="2:14" x14ac:dyDescent="0.2">
      <c r="B257" s="88">
        <v>2015</v>
      </c>
      <c r="C257" s="88" t="s">
        <v>419</v>
      </c>
      <c r="D257" s="40">
        <v>390</v>
      </c>
      <c r="E257" s="40">
        <v>370</v>
      </c>
      <c r="F257" s="40">
        <v>94.9</v>
      </c>
      <c r="G257" s="40">
        <v>305</v>
      </c>
      <c r="H257" s="40">
        <v>78.2</v>
      </c>
      <c r="I257" s="40">
        <v>230</v>
      </c>
      <c r="J257" s="40">
        <v>59</v>
      </c>
      <c r="K257" s="40">
        <v>195</v>
      </c>
      <c r="L257" s="40">
        <v>50</v>
      </c>
      <c r="M257" s="40" t="s">
        <v>492</v>
      </c>
      <c r="N257" s="40" t="s">
        <v>492</v>
      </c>
    </row>
    <row r="258" spans="2:14" x14ac:dyDescent="0.2">
      <c r="B258" s="88">
        <v>2015</v>
      </c>
      <c r="C258" s="88" t="s">
        <v>168</v>
      </c>
      <c r="D258" s="40">
        <v>510</v>
      </c>
      <c r="E258" s="40">
        <v>475</v>
      </c>
      <c r="F258" s="40">
        <v>93.1</v>
      </c>
      <c r="G258" s="40">
        <v>375</v>
      </c>
      <c r="H258" s="40">
        <v>73.5</v>
      </c>
      <c r="I258" s="40">
        <v>285</v>
      </c>
      <c r="J258" s="40">
        <v>55.9</v>
      </c>
      <c r="K258" s="40">
        <v>225</v>
      </c>
      <c r="L258" s="40">
        <v>44.1</v>
      </c>
      <c r="M258" s="40" t="s">
        <v>492</v>
      </c>
      <c r="N258" s="40" t="s">
        <v>492</v>
      </c>
    </row>
    <row r="259" spans="2:14" x14ac:dyDescent="0.2">
      <c r="B259" s="88">
        <v>2015</v>
      </c>
      <c r="C259" s="88" t="s">
        <v>420</v>
      </c>
      <c r="D259" s="40">
        <v>565</v>
      </c>
      <c r="E259" s="40">
        <v>510</v>
      </c>
      <c r="F259" s="40">
        <v>90.3</v>
      </c>
      <c r="G259" s="40">
        <v>415</v>
      </c>
      <c r="H259" s="40">
        <v>73.5</v>
      </c>
      <c r="I259" s="40">
        <v>325</v>
      </c>
      <c r="J259" s="40">
        <v>57.5</v>
      </c>
      <c r="K259" s="40">
        <v>275</v>
      </c>
      <c r="L259" s="40">
        <v>48.7</v>
      </c>
      <c r="M259" s="40" t="s">
        <v>492</v>
      </c>
      <c r="N259" s="40" t="s">
        <v>492</v>
      </c>
    </row>
    <row r="260" spans="2:14" x14ac:dyDescent="0.2">
      <c r="B260" s="88">
        <v>2016</v>
      </c>
      <c r="C260" s="88" t="s">
        <v>166</v>
      </c>
      <c r="D260" s="40">
        <v>385</v>
      </c>
      <c r="E260" s="40">
        <v>365</v>
      </c>
      <c r="F260" s="40">
        <v>94.8</v>
      </c>
      <c r="G260" s="40">
        <v>300</v>
      </c>
      <c r="H260" s="40">
        <v>77.900000000000006</v>
      </c>
      <c r="I260" s="40">
        <v>230</v>
      </c>
      <c r="J260" s="40">
        <v>59.7</v>
      </c>
      <c r="K260" s="40" t="s">
        <v>492</v>
      </c>
      <c r="L260" s="40" t="s">
        <v>492</v>
      </c>
      <c r="M260" s="40" t="s">
        <v>492</v>
      </c>
      <c r="N260" s="40" t="s">
        <v>492</v>
      </c>
    </row>
    <row r="261" spans="2:14" x14ac:dyDescent="0.2">
      <c r="B261" s="88">
        <v>2016</v>
      </c>
      <c r="C261" s="88" t="s">
        <v>419</v>
      </c>
      <c r="D261" s="40">
        <v>500</v>
      </c>
      <c r="E261" s="40">
        <v>450</v>
      </c>
      <c r="F261" s="40">
        <v>90</v>
      </c>
      <c r="G261" s="40">
        <v>335</v>
      </c>
      <c r="H261" s="40">
        <v>67</v>
      </c>
      <c r="I261" s="40">
        <v>250</v>
      </c>
      <c r="J261" s="40">
        <v>50</v>
      </c>
      <c r="K261" s="40" t="s">
        <v>492</v>
      </c>
      <c r="L261" s="40" t="s">
        <v>492</v>
      </c>
      <c r="M261" s="40" t="s">
        <v>492</v>
      </c>
      <c r="N261" s="40" t="s">
        <v>492</v>
      </c>
    </row>
    <row r="262" spans="2:14" x14ac:dyDescent="0.2">
      <c r="B262" s="88">
        <v>2016</v>
      </c>
      <c r="C262" s="88" t="s">
        <v>168</v>
      </c>
      <c r="D262" s="40">
        <v>1410</v>
      </c>
      <c r="E262" s="40">
        <v>1320</v>
      </c>
      <c r="F262" s="40">
        <v>93.6</v>
      </c>
      <c r="G262" s="40">
        <v>1065</v>
      </c>
      <c r="H262" s="40">
        <v>75.5</v>
      </c>
      <c r="I262" s="40">
        <v>835</v>
      </c>
      <c r="J262" s="40">
        <v>59.2</v>
      </c>
      <c r="K262" s="40" t="s">
        <v>492</v>
      </c>
      <c r="L262" s="40" t="s">
        <v>492</v>
      </c>
      <c r="M262" s="40" t="s">
        <v>492</v>
      </c>
      <c r="N262" s="40" t="s">
        <v>492</v>
      </c>
    </row>
    <row r="263" spans="2:14" x14ac:dyDescent="0.2">
      <c r="B263" s="88">
        <v>2016</v>
      </c>
      <c r="C263" s="88" t="s">
        <v>420</v>
      </c>
      <c r="D263" s="40">
        <v>550</v>
      </c>
      <c r="E263" s="40">
        <v>510</v>
      </c>
      <c r="F263" s="40">
        <v>92.7</v>
      </c>
      <c r="G263" s="40">
        <v>430</v>
      </c>
      <c r="H263" s="40">
        <v>78.2</v>
      </c>
      <c r="I263" s="40">
        <v>365</v>
      </c>
      <c r="J263" s="40">
        <v>66.400000000000006</v>
      </c>
      <c r="K263" s="40" t="s">
        <v>492</v>
      </c>
      <c r="L263" s="40" t="s">
        <v>492</v>
      </c>
      <c r="M263" s="40" t="s">
        <v>492</v>
      </c>
      <c r="N263" s="40" t="s">
        <v>492</v>
      </c>
    </row>
    <row r="264" spans="2:14" x14ac:dyDescent="0.2">
      <c r="B264" s="88">
        <v>2017</v>
      </c>
      <c r="C264" s="88" t="s">
        <v>166</v>
      </c>
      <c r="D264" s="40">
        <v>370</v>
      </c>
      <c r="E264" s="40">
        <v>345</v>
      </c>
      <c r="F264" s="40">
        <v>93.2</v>
      </c>
      <c r="G264" s="40">
        <v>285</v>
      </c>
      <c r="H264" s="40">
        <v>77</v>
      </c>
      <c r="I264" s="40" t="s">
        <v>492</v>
      </c>
      <c r="J264" s="40" t="s">
        <v>492</v>
      </c>
      <c r="K264" s="40" t="s">
        <v>492</v>
      </c>
      <c r="L264" s="40" t="s">
        <v>492</v>
      </c>
      <c r="M264" s="40" t="s">
        <v>492</v>
      </c>
      <c r="N264" s="40" t="s">
        <v>492</v>
      </c>
    </row>
    <row r="265" spans="2:14" x14ac:dyDescent="0.2">
      <c r="B265" s="88">
        <v>2017</v>
      </c>
      <c r="C265" s="88" t="s">
        <v>419</v>
      </c>
      <c r="D265" s="40">
        <v>460</v>
      </c>
      <c r="E265" s="40">
        <v>400</v>
      </c>
      <c r="F265" s="40">
        <v>87</v>
      </c>
      <c r="G265" s="40">
        <v>305</v>
      </c>
      <c r="H265" s="40">
        <v>66.3</v>
      </c>
      <c r="I265" s="40" t="s">
        <v>492</v>
      </c>
      <c r="J265" s="40" t="s">
        <v>492</v>
      </c>
      <c r="K265" s="40" t="s">
        <v>492</v>
      </c>
      <c r="L265" s="40" t="s">
        <v>492</v>
      </c>
      <c r="M265" s="40" t="s">
        <v>492</v>
      </c>
      <c r="N265" s="40" t="s">
        <v>492</v>
      </c>
    </row>
    <row r="266" spans="2:14" x14ac:dyDescent="0.2">
      <c r="B266" s="88">
        <v>2017</v>
      </c>
      <c r="C266" s="88" t="s">
        <v>168</v>
      </c>
      <c r="D266" s="40">
        <v>1350</v>
      </c>
      <c r="E266" s="40">
        <v>1235</v>
      </c>
      <c r="F266" s="40">
        <v>91.5</v>
      </c>
      <c r="G266" s="40">
        <v>1015</v>
      </c>
      <c r="H266" s="40">
        <v>75.2</v>
      </c>
      <c r="I266" s="40" t="s">
        <v>492</v>
      </c>
      <c r="J266" s="40" t="s">
        <v>492</v>
      </c>
      <c r="K266" s="40" t="s">
        <v>492</v>
      </c>
      <c r="L266" s="40" t="s">
        <v>492</v>
      </c>
      <c r="M266" s="40" t="s">
        <v>492</v>
      </c>
      <c r="N266" s="40" t="s">
        <v>492</v>
      </c>
    </row>
    <row r="267" spans="2:14" x14ac:dyDescent="0.2">
      <c r="B267" s="88">
        <v>2017</v>
      </c>
      <c r="C267" s="88" t="s">
        <v>420</v>
      </c>
      <c r="D267" s="40">
        <v>545</v>
      </c>
      <c r="E267" s="40">
        <v>500</v>
      </c>
      <c r="F267" s="40">
        <v>91.7</v>
      </c>
      <c r="G267" s="40">
        <v>420</v>
      </c>
      <c r="H267" s="40">
        <v>77.099999999999994</v>
      </c>
      <c r="I267" s="40" t="s">
        <v>492</v>
      </c>
      <c r="J267" s="40" t="s">
        <v>492</v>
      </c>
      <c r="K267" s="40" t="s">
        <v>492</v>
      </c>
      <c r="L267" s="40" t="s">
        <v>492</v>
      </c>
      <c r="M267" s="40" t="s">
        <v>492</v>
      </c>
      <c r="N267" s="40" t="s">
        <v>492</v>
      </c>
    </row>
    <row r="268" spans="2:14" x14ac:dyDescent="0.2">
      <c r="B268" s="88">
        <v>2018</v>
      </c>
      <c r="C268" s="88" t="s">
        <v>166</v>
      </c>
      <c r="D268" s="40">
        <v>365</v>
      </c>
      <c r="E268" s="40">
        <v>340</v>
      </c>
      <c r="F268" s="40">
        <v>93.2</v>
      </c>
      <c r="G268" s="40" t="s">
        <v>492</v>
      </c>
      <c r="H268" s="40" t="s">
        <v>492</v>
      </c>
      <c r="I268" s="40" t="s">
        <v>492</v>
      </c>
      <c r="J268" s="40" t="s">
        <v>492</v>
      </c>
      <c r="K268" s="40" t="s">
        <v>492</v>
      </c>
      <c r="L268" s="40" t="s">
        <v>492</v>
      </c>
      <c r="M268" s="40" t="s">
        <v>492</v>
      </c>
      <c r="N268" s="40" t="s">
        <v>492</v>
      </c>
    </row>
    <row r="269" spans="2:14" x14ac:dyDescent="0.2">
      <c r="B269" s="88">
        <v>2018</v>
      </c>
      <c r="C269" s="88" t="s">
        <v>419</v>
      </c>
      <c r="D269" s="40">
        <v>510</v>
      </c>
      <c r="E269" s="40">
        <v>460</v>
      </c>
      <c r="F269" s="40">
        <v>90.2</v>
      </c>
      <c r="G269" s="40" t="s">
        <v>492</v>
      </c>
      <c r="H269" s="40" t="s">
        <v>492</v>
      </c>
      <c r="I269" s="40" t="s">
        <v>492</v>
      </c>
      <c r="J269" s="40" t="s">
        <v>492</v>
      </c>
      <c r="K269" s="40" t="s">
        <v>492</v>
      </c>
      <c r="L269" s="40" t="s">
        <v>492</v>
      </c>
      <c r="M269" s="40" t="s">
        <v>492</v>
      </c>
      <c r="N269" s="40" t="s">
        <v>492</v>
      </c>
    </row>
    <row r="270" spans="2:14" x14ac:dyDescent="0.2">
      <c r="B270" s="88">
        <v>2018</v>
      </c>
      <c r="C270" s="88" t="s">
        <v>168</v>
      </c>
      <c r="D270" s="40">
        <v>1225</v>
      </c>
      <c r="E270" s="40">
        <v>1095</v>
      </c>
      <c r="F270" s="40">
        <v>89.4</v>
      </c>
      <c r="G270" s="40" t="s">
        <v>492</v>
      </c>
      <c r="H270" s="40" t="s">
        <v>492</v>
      </c>
      <c r="I270" s="40" t="s">
        <v>492</v>
      </c>
      <c r="J270" s="40" t="s">
        <v>492</v>
      </c>
      <c r="K270" s="40" t="s">
        <v>492</v>
      </c>
      <c r="L270" s="40" t="s">
        <v>492</v>
      </c>
      <c r="M270" s="40" t="s">
        <v>492</v>
      </c>
      <c r="N270" s="40" t="s">
        <v>492</v>
      </c>
    </row>
    <row r="271" spans="2:14" x14ac:dyDescent="0.2">
      <c r="B271" s="88">
        <v>2018</v>
      </c>
      <c r="C271" s="88" t="s">
        <v>420</v>
      </c>
      <c r="D271" s="40">
        <v>485</v>
      </c>
      <c r="E271" s="40">
        <v>445</v>
      </c>
      <c r="F271" s="40">
        <v>91.8</v>
      </c>
      <c r="G271" s="40" t="s">
        <v>492</v>
      </c>
      <c r="H271" s="40" t="s">
        <v>492</v>
      </c>
      <c r="I271" s="40" t="s">
        <v>492</v>
      </c>
      <c r="J271" s="40" t="s">
        <v>492</v>
      </c>
      <c r="K271" s="40" t="s">
        <v>492</v>
      </c>
      <c r="L271" s="40" t="s">
        <v>492</v>
      </c>
      <c r="M271" s="40" t="s">
        <v>492</v>
      </c>
      <c r="N271" s="40" t="s">
        <v>492</v>
      </c>
    </row>
    <row r="274" spans="1:11" ht="15" x14ac:dyDescent="0.25">
      <c r="A274" s="12">
        <v>2.2400000000000002</v>
      </c>
      <c r="B274" s="16" t="s">
        <v>493</v>
      </c>
    </row>
    <row r="276" spans="1:11" x14ac:dyDescent="0.2">
      <c r="B276" s="88"/>
      <c r="C276" s="642" t="s">
        <v>494</v>
      </c>
      <c r="D276" s="644"/>
      <c r="E276" s="643"/>
      <c r="F276" s="642" t="s">
        <v>495</v>
      </c>
      <c r="G276" s="644"/>
      <c r="H276" s="643"/>
      <c r="I276" s="642" t="s">
        <v>496</v>
      </c>
      <c r="J276" s="644"/>
      <c r="K276" s="643"/>
    </row>
    <row r="277" spans="1:11" x14ac:dyDescent="0.2">
      <c r="B277" s="88" t="s">
        <v>322</v>
      </c>
      <c r="C277" s="88" t="s">
        <v>497</v>
      </c>
      <c r="D277" s="88" t="s">
        <v>498</v>
      </c>
      <c r="E277" s="88" t="s">
        <v>499</v>
      </c>
      <c r="F277" s="88" t="s">
        <v>497</v>
      </c>
      <c r="G277" s="88" t="s">
        <v>498</v>
      </c>
      <c r="H277" s="88" t="s">
        <v>499</v>
      </c>
      <c r="I277" s="88" t="s">
        <v>497</v>
      </c>
      <c r="J277" s="88" t="s">
        <v>498</v>
      </c>
      <c r="K277" s="88" t="s">
        <v>499</v>
      </c>
    </row>
    <row r="278" spans="1:11" x14ac:dyDescent="0.2">
      <c r="B278" s="88" t="s">
        <v>166</v>
      </c>
      <c r="C278" s="106">
        <v>0.91400000000000003</v>
      </c>
      <c r="D278" s="106">
        <v>2.7E-2</v>
      </c>
      <c r="E278" s="106">
        <v>5.8999999999999997E-2</v>
      </c>
      <c r="F278" s="40">
        <v>0.6</v>
      </c>
      <c r="G278" s="40">
        <v>-0.1</v>
      </c>
      <c r="H278" s="40">
        <v>-0.5</v>
      </c>
      <c r="I278" s="40">
        <v>-0.8</v>
      </c>
      <c r="J278" s="40">
        <v>-0.9</v>
      </c>
      <c r="K278" s="40">
        <v>1.6</v>
      </c>
    </row>
    <row r="279" spans="1:11" x14ac:dyDescent="0.2">
      <c r="B279" s="88" t="s">
        <v>419</v>
      </c>
      <c r="C279" s="106">
        <v>0.9</v>
      </c>
      <c r="D279" s="106">
        <v>4.4999999999999998E-2</v>
      </c>
      <c r="E279" s="106">
        <v>5.5E-2</v>
      </c>
      <c r="F279" s="40">
        <v>1.8</v>
      </c>
      <c r="G279" s="40">
        <v>-0.2</v>
      </c>
      <c r="H279" s="40">
        <v>-1.6</v>
      </c>
      <c r="I279" s="40">
        <v>1.3</v>
      </c>
      <c r="J279" s="40">
        <v>-1.1000000000000001</v>
      </c>
      <c r="K279" s="40">
        <v>-0.2</v>
      </c>
    </row>
    <row r="280" spans="1:11" x14ac:dyDescent="0.2">
      <c r="B280" s="88" t="s">
        <v>168</v>
      </c>
      <c r="C280" s="106">
        <v>0.91700000000000004</v>
      </c>
      <c r="D280" s="106">
        <v>3.4000000000000002E-2</v>
      </c>
      <c r="E280" s="106">
        <v>4.9000000000000002E-2</v>
      </c>
      <c r="F280" s="40">
        <v>1</v>
      </c>
      <c r="G280" s="40">
        <v>-0.6</v>
      </c>
      <c r="H280" s="40">
        <v>-0.4</v>
      </c>
      <c r="I280" s="40">
        <v>1.6</v>
      </c>
      <c r="J280" s="40">
        <v>-0.9</v>
      </c>
      <c r="K280" s="40">
        <v>-0.7</v>
      </c>
    </row>
    <row r="281" spans="1:11" x14ac:dyDescent="0.2">
      <c r="B281" s="88" t="s">
        <v>169</v>
      </c>
      <c r="C281" s="106">
        <v>0.94799999999999995</v>
      </c>
      <c r="D281" s="106">
        <v>2.8000000000000001E-2</v>
      </c>
      <c r="E281" s="106">
        <v>2.5000000000000001E-2</v>
      </c>
      <c r="F281" s="40">
        <v>1.4</v>
      </c>
      <c r="G281" s="40">
        <v>-0.2</v>
      </c>
      <c r="H281" s="40">
        <v>-1.2</v>
      </c>
      <c r="I281" s="40">
        <v>0.8</v>
      </c>
      <c r="J281" s="40">
        <v>-0.3</v>
      </c>
      <c r="K281" s="40">
        <v>-0.4</v>
      </c>
    </row>
    <row r="284" spans="1:11" ht="15" x14ac:dyDescent="0.25">
      <c r="A284" s="12">
        <v>2.25</v>
      </c>
      <c r="B284" s="16" t="s">
        <v>500</v>
      </c>
    </row>
    <row r="285" spans="1:11" x14ac:dyDescent="0.2">
      <c r="B285" s="88" t="s">
        <v>501</v>
      </c>
      <c r="C285" s="88" t="s">
        <v>502</v>
      </c>
      <c r="D285" s="88" t="s">
        <v>503</v>
      </c>
      <c r="E285" s="88" t="s">
        <v>504</v>
      </c>
      <c r="F285" s="88" t="s">
        <v>503</v>
      </c>
    </row>
    <row r="286" spans="1:11" x14ac:dyDescent="0.2">
      <c r="B286" s="88" t="s">
        <v>166</v>
      </c>
      <c r="C286" s="40">
        <v>12</v>
      </c>
      <c r="D286" s="106">
        <v>4.2999999999999997E-2</v>
      </c>
      <c r="E286" s="40" t="s">
        <v>331</v>
      </c>
      <c r="F286" s="106" t="s">
        <v>331</v>
      </c>
    </row>
    <row r="287" spans="1:11" x14ac:dyDescent="0.2">
      <c r="B287" s="88" t="s">
        <v>419</v>
      </c>
      <c r="C287" s="40">
        <v>8</v>
      </c>
      <c r="D287" s="106">
        <v>2.9000000000000001E-2</v>
      </c>
      <c r="E287" s="40">
        <v>16</v>
      </c>
      <c r="F287" s="106">
        <v>5.8000000000000003E-2</v>
      </c>
    </row>
    <row r="288" spans="1:11" x14ac:dyDescent="0.2">
      <c r="B288" s="88" t="s">
        <v>168</v>
      </c>
      <c r="C288" s="40">
        <v>9</v>
      </c>
      <c r="D288" s="106">
        <v>3.2000000000000001E-2</v>
      </c>
      <c r="E288" s="40">
        <v>5</v>
      </c>
      <c r="F288" s="106">
        <v>1.7999999999999999E-2</v>
      </c>
    </row>
    <row r="289" spans="2:6" x14ac:dyDescent="0.2">
      <c r="B289" s="88" t="s">
        <v>505</v>
      </c>
      <c r="C289" s="40" t="s">
        <v>331</v>
      </c>
      <c r="D289" s="40" t="s">
        <v>331</v>
      </c>
      <c r="E289" s="40" t="s">
        <v>331</v>
      </c>
      <c r="F289" s="40" t="s">
        <v>331</v>
      </c>
    </row>
    <row r="291" spans="2:6" ht="15" x14ac:dyDescent="0.25">
      <c r="B291" s="16" t="s">
        <v>506</v>
      </c>
    </row>
    <row r="292" spans="2:6" x14ac:dyDescent="0.2">
      <c r="B292" s="88" t="s">
        <v>501</v>
      </c>
      <c r="C292" s="88" t="s">
        <v>502</v>
      </c>
      <c r="D292" s="88" t="s">
        <v>503</v>
      </c>
      <c r="E292" s="88" t="s">
        <v>504</v>
      </c>
      <c r="F292" s="88" t="s">
        <v>503</v>
      </c>
    </row>
    <row r="293" spans="2:6" x14ac:dyDescent="0.2">
      <c r="B293" s="88" t="s">
        <v>166</v>
      </c>
      <c r="C293" s="40">
        <v>34</v>
      </c>
      <c r="D293" s="106">
        <v>3.6999999999999998E-2</v>
      </c>
      <c r="E293" s="40">
        <v>18</v>
      </c>
      <c r="F293" s="106">
        <v>0.02</v>
      </c>
    </row>
    <row r="294" spans="2:6" x14ac:dyDescent="0.2">
      <c r="B294" s="88" t="s">
        <v>419</v>
      </c>
      <c r="C294" s="40">
        <v>26</v>
      </c>
      <c r="D294" s="106">
        <v>2.8000000000000001E-2</v>
      </c>
      <c r="E294" s="40">
        <v>34</v>
      </c>
      <c r="F294" s="106">
        <v>3.6999999999999998E-2</v>
      </c>
    </row>
    <row r="295" spans="2:6" x14ac:dyDescent="0.2">
      <c r="B295" s="88" t="s">
        <v>168</v>
      </c>
      <c r="C295" s="40">
        <v>77</v>
      </c>
      <c r="D295" s="106">
        <v>8.4000000000000005E-2</v>
      </c>
      <c r="E295" s="40">
        <v>49</v>
      </c>
      <c r="F295" s="106">
        <v>5.2999999999999999E-2</v>
      </c>
    </row>
    <row r="296" spans="2:6" x14ac:dyDescent="0.2">
      <c r="B296" s="88" t="s">
        <v>505</v>
      </c>
      <c r="C296" s="40">
        <v>13</v>
      </c>
      <c r="D296" s="106">
        <v>1.4E-2</v>
      </c>
      <c r="E296" s="40">
        <v>9</v>
      </c>
      <c r="F296" s="106">
        <v>0.01</v>
      </c>
    </row>
    <row r="298" spans="2:6" ht="15" x14ac:dyDescent="0.25">
      <c r="B298" s="16" t="s">
        <v>506</v>
      </c>
    </row>
    <row r="299" spans="2:6" x14ac:dyDescent="0.2">
      <c r="B299" s="88" t="s">
        <v>501</v>
      </c>
      <c r="C299" s="88" t="s">
        <v>502</v>
      </c>
      <c r="D299" s="88" t="s">
        <v>504</v>
      </c>
    </row>
    <row r="300" spans="2:6" x14ac:dyDescent="0.2">
      <c r="B300" s="88" t="s">
        <v>166</v>
      </c>
      <c r="C300" s="106">
        <v>3.6999999999999998E-2</v>
      </c>
      <c r="D300" s="106">
        <v>0.02</v>
      </c>
    </row>
    <row r="301" spans="2:6" x14ac:dyDescent="0.2">
      <c r="B301" s="88" t="s">
        <v>419</v>
      </c>
      <c r="C301" s="106">
        <v>2.8000000000000001E-2</v>
      </c>
      <c r="D301" s="106">
        <v>3.6999999999999998E-2</v>
      </c>
    </row>
    <row r="302" spans="2:6" x14ac:dyDescent="0.2">
      <c r="B302" s="88" t="s">
        <v>168</v>
      </c>
      <c r="C302" s="106">
        <v>8.4000000000000005E-2</v>
      </c>
      <c r="D302" s="106">
        <v>5.2999999999999999E-2</v>
      </c>
    </row>
    <row r="303" spans="2:6" x14ac:dyDescent="0.2">
      <c r="B303" s="88" t="s">
        <v>505</v>
      </c>
      <c r="C303" s="106">
        <v>1.4E-2</v>
      </c>
      <c r="D303" s="106">
        <v>0.01</v>
      </c>
    </row>
    <row r="305" spans="1:4" ht="15" x14ac:dyDescent="0.25">
      <c r="B305" s="16" t="s">
        <v>507</v>
      </c>
    </row>
    <row r="306" spans="1:4" x14ac:dyDescent="0.2">
      <c r="B306" s="88" t="s">
        <v>508</v>
      </c>
      <c r="C306" s="88" t="s">
        <v>509</v>
      </c>
      <c r="D306" s="88" t="s">
        <v>503</v>
      </c>
    </row>
    <row r="307" spans="1:4" x14ac:dyDescent="0.2">
      <c r="B307" s="88" t="s">
        <v>166</v>
      </c>
      <c r="C307" s="40" t="s">
        <v>331</v>
      </c>
      <c r="D307" s="40" t="s">
        <v>331</v>
      </c>
    </row>
    <row r="308" spans="1:4" x14ac:dyDescent="0.2">
      <c r="B308" s="88" t="s">
        <v>419</v>
      </c>
      <c r="C308" s="40">
        <v>7</v>
      </c>
      <c r="D308" s="40">
        <v>4.7E-2</v>
      </c>
    </row>
    <row r="309" spans="1:4" x14ac:dyDescent="0.2">
      <c r="B309" s="88" t="s">
        <v>168</v>
      </c>
      <c r="C309" s="40" t="s">
        <v>331</v>
      </c>
      <c r="D309" s="40" t="s">
        <v>331</v>
      </c>
    </row>
    <row r="310" spans="1:4" x14ac:dyDescent="0.2">
      <c r="B310" s="88" t="s">
        <v>505</v>
      </c>
      <c r="C310" s="40" t="s">
        <v>331</v>
      </c>
      <c r="D310" s="40" t="s">
        <v>331</v>
      </c>
    </row>
    <row r="312" spans="1:4" ht="15" x14ac:dyDescent="0.25">
      <c r="B312" s="16" t="s">
        <v>510</v>
      </c>
    </row>
    <row r="313" spans="1:4" x14ac:dyDescent="0.2">
      <c r="B313" s="88" t="s">
        <v>508</v>
      </c>
      <c r="C313" s="88" t="s">
        <v>509</v>
      </c>
      <c r="D313" s="88" t="s">
        <v>503</v>
      </c>
    </row>
    <row r="314" spans="1:4" x14ac:dyDescent="0.2">
      <c r="B314" s="88" t="s">
        <v>166</v>
      </c>
      <c r="C314" s="40">
        <v>6</v>
      </c>
      <c r="D314" s="106">
        <v>1.4E-2</v>
      </c>
    </row>
    <row r="315" spans="1:4" x14ac:dyDescent="0.2">
      <c r="B315" s="88" t="s">
        <v>419</v>
      </c>
      <c r="C315" s="40">
        <v>12</v>
      </c>
      <c r="D315" s="106">
        <v>2.9000000000000001E-2</v>
      </c>
    </row>
    <row r="316" spans="1:4" x14ac:dyDescent="0.2">
      <c r="B316" s="88" t="s">
        <v>168</v>
      </c>
      <c r="C316" s="40">
        <v>19</v>
      </c>
      <c r="D316" s="106">
        <v>4.5999999999999999E-2</v>
      </c>
    </row>
    <row r="317" spans="1:4" x14ac:dyDescent="0.2">
      <c r="B317" s="88" t="s">
        <v>505</v>
      </c>
      <c r="C317" s="40">
        <v>6</v>
      </c>
      <c r="D317" s="106">
        <v>1.4E-2</v>
      </c>
    </row>
    <row r="320" spans="1:4" ht="15" x14ac:dyDescent="0.25">
      <c r="A320" s="12">
        <v>2.2599999999999998</v>
      </c>
      <c r="B320" s="16" t="s">
        <v>511</v>
      </c>
    </row>
    <row r="321" spans="2:10" x14ac:dyDescent="0.2">
      <c r="B321" s="88" t="s">
        <v>512</v>
      </c>
      <c r="C321" s="88" t="s">
        <v>513</v>
      </c>
      <c r="D321" s="88" t="s">
        <v>514</v>
      </c>
      <c r="E321" s="88" t="s">
        <v>515</v>
      </c>
    </row>
    <row r="322" spans="2:10" x14ac:dyDescent="0.2">
      <c r="B322" s="88" t="s">
        <v>166</v>
      </c>
      <c r="C322" s="40" t="s">
        <v>331</v>
      </c>
      <c r="D322" s="40">
        <v>12</v>
      </c>
      <c r="E322" s="40">
        <v>8</v>
      </c>
    </row>
    <row r="323" spans="2:10" x14ac:dyDescent="0.2">
      <c r="B323" s="88" t="s">
        <v>419</v>
      </c>
      <c r="C323" s="40" t="s">
        <v>331</v>
      </c>
      <c r="D323" s="40">
        <v>5</v>
      </c>
      <c r="E323" s="40">
        <v>9</v>
      </c>
    </row>
    <row r="324" spans="2:10" x14ac:dyDescent="0.2">
      <c r="B324" s="88" t="s">
        <v>168</v>
      </c>
      <c r="C324" s="40">
        <v>5</v>
      </c>
      <c r="D324" s="40">
        <v>32</v>
      </c>
      <c r="E324" s="40">
        <v>26</v>
      </c>
    </row>
    <row r="325" spans="2:10" x14ac:dyDescent="0.2">
      <c r="B325" s="88" t="s">
        <v>505</v>
      </c>
      <c r="C325" s="40">
        <v>7</v>
      </c>
      <c r="D325" s="40">
        <v>15</v>
      </c>
      <c r="E325" s="40">
        <v>19</v>
      </c>
    </row>
    <row r="328" spans="2:10" ht="15" x14ac:dyDescent="0.25">
      <c r="B328" s="16" t="s">
        <v>516</v>
      </c>
    </row>
    <row r="329" spans="2:10" x14ac:dyDescent="0.2">
      <c r="B329" s="88"/>
      <c r="C329" s="642" t="s">
        <v>513</v>
      </c>
      <c r="D329" s="643"/>
      <c r="E329" s="642" t="s">
        <v>514</v>
      </c>
      <c r="F329" s="643"/>
      <c r="G329" s="642" t="s">
        <v>515</v>
      </c>
      <c r="H329" s="643"/>
      <c r="I329" s="642" t="s">
        <v>517</v>
      </c>
      <c r="J329" s="643"/>
    </row>
    <row r="330" spans="2:10" x14ac:dyDescent="0.2">
      <c r="B330" s="88" t="s">
        <v>322</v>
      </c>
      <c r="C330" s="88" t="s">
        <v>518</v>
      </c>
      <c r="D330" s="88" t="s">
        <v>519</v>
      </c>
      <c r="E330" s="88" t="s">
        <v>518</v>
      </c>
      <c r="F330" s="88" t="s">
        <v>519</v>
      </c>
      <c r="G330" s="88" t="s">
        <v>518</v>
      </c>
      <c r="H330" s="88" t="s">
        <v>519</v>
      </c>
      <c r="I330" s="88" t="s">
        <v>518</v>
      </c>
      <c r="J330" s="88" t="s">
        <v>519</v>
      </c>
    </row>
    <row r="331" spans="2:10" x14ac:dyDescent="0.2">
      <c r="B331" s="88" t="s">
        <v>166</v>
      </c>
      <c r="C331" s="40">
        <v>9</v>
      </c>
      <c r="D331" s="40" t="s">
        <v>331</v>
      </c>
      <c r="E331" s="40">
        <v>40</v>
      </c>
      <c r="F331" s="40" t="s">
        <v>331</v>
      </c>
      <c r="G331" s="40">
        <v>29</v>
      </c>
      <c r="H331" s="40">
        <v>8</v>
      </c>
      <c r="I331" s="40">
        <v>110</v>
      </c>
      <c r="J331" s="40">
        <v>107</v>
      </c>
    </row>
    <row r="332" spans="2:10" x14ac:dyDescent="0.2">
      <c r="B332" s="88" t="s">
        <v>419</v>
      </c>
      <c r="C332" s="40" t="s">
        <v>331</v>
      </c>
      <c r="D332" s="40" t="s">
        <v>331</v>
      </c>
      <c r="E332" s="40">
        <v>9</v>
      </c>
      <c r="F332" s="40" t="s">
        <v>331</v>
      </c>
      <c r="G332" s="40">
        <v>21</v>
      </c>
      <c r="H332" s="40">
        <v>8</v>
      </c>
      <c r="I332" s="40">
        <v>89</v>
      </c>
      <c r="J332" s="40">
        <v>88</v>
      </c>
    </row>
    <row r="333" spans="2:10" x14ac:dyDescent="0.2">
      <c r="B333" s="88" t="s">
        <v>168</v>
      </c>
      <c r="C333" s="40">
        <v>27</v>
      </c>
      <c r="D333" s="40" t="s">
        <v>331</v>
      </c>
      <c r="E333" s="40">
        <v>239</v>
      </c>
      <c r="F333" s="40" t="s">
        <v>331</v>
      </c>
      <c r="G333" s="40">
        <v>167</v>
      </c>
      <c r="H333" s="40">
        <v>93</v>
      </c>
      <c r="I333" s="40">
        <v>205</v>
      </c>
      <c r="J333" s="40">
        <v>193</v>
      </c>
    </row>
    <row r="334" spans="2:10" x14ac:dyDescent="0.2">
      <c r="B334" s="88" t="s">
        <v>505</v>
      </c>
      <c r="C334" s="40">
        <v>19</v>
      </c>
      <c r="D334" s="40" t="s">
        <v>331</v>
      </c>
      <c r="E334" s="40">
        <v>35</v>
      </c>
      <c r="F334" s="40" t="s">
        <v>331</v>
      </c>
      <c r="G334" s="40">
        <v>47</v>
      </c>
      <c r="H334" s="40">
        <v>30</v>
      </c>
      <c r="I334" s="40">
        <v>107</v>
      </c>
      <c r="J334" s="40">
        <v>103</v>
      </c>
    </row>
    <row r="337" spans="1:9" ht="15" x14ac:dyDescent="0.25">
      <c r="B337" s="16" t="s">
        <v>520</v>
      </c>
    </row>
    <row r="338" spans="1:9" x14ac:dyDescent="0.2">
      <c r="B338" s="88" t="s">
        <v>322</v>
      </c>
      <c r="C338" s="88" t="s">
        <v>513</v>
      </c>
      <c r="D338" s="88" t="s">
        <v>514</v>
      </c>
      <c r="E338" s="88" t="s">
        <v>515</v>
      </c>
      <c r="F338" s="88" t="s">
        <v>517</v>
      </c>
    </row>
    <row r="339" spans="1:9" x14ac:dyDescent="0.2">
      <c r="B339" s="88" t="s">
        <v>166</v>
      </c>
      <c r="C339" s="106">
        <v>0.5</v>
      </c>
      <c r="D339" s="106">
        <v>0.875</v>
      </c>
      <c r="E339" s="106">
        <v>0.75</v>
      </c>
      <c r="F339" s="106">
        <v>1</v>
      </c>
    </row>
    <row r="340" spans="1:9" x14ac:dyDescent="0.2">
      <c r="B340" s="88" t="s">
        <v>419</v>
      </c>
      <c r="C340" s="106">
        <v>0.25</v>
      </c>
      <c r="D340" s="106">
        <v>0.375</v>
      </c>
      <c r="E340" s="106">
        <v>0.875</v>
      </c>
      <c r="F340" s="106">
        <v>1</v>
      </c>
    </row>
    <row r="341" spans="1:9" x14ac:dyDescent="0.2">
      <c r="B341" s="88" t="s">
        <v>168</v>
      </c>
      <c r="C341" s="106">
        <v>0.44400000000000001</v>
      </c>
      <c r="D341" s="106">
        <v>0.88900000000000001</v>
      </c>
      <c r="E341" s="106">
        <v>1</v>
      </c>
      <c r="F341" s="106">
        <v>1</v>
      </c>
    </row>
    <row r="342" spans="1:9" x14ac:dyDescent="0.2">
      <c r="B342" s="88" t="s">
        <v>505</v>
      </c>
      <c r="C342" s="106">
        <v>0.5</v>
      </c>
      <c r="D342" s="106">
        <v>0.6</v>
      </c>
      <c r="E342" s="106">
        <v>0.72699999999999998</v>
      </c>
      <c r="F342" s="106">
        <v>0.81799999999999995</v>
      </c>
    </row>
    <row r="347" spans="1:9" ht="15" x14ac:dyDescent="0.25">
      <c r="A347" s="12">
        <v>2.27</v>
      </c>
      <c r="B347" s="135" t="s">
        <v>398</v>
      </c>
      <c r="C347" s="108">
        <v>42430</v>
      </c>
      <c r="D347"/>
      <c r="E347" s="83" t="s">
        <v>521</v>
      </c>
      <c r="F347"/>
      <c r="G347"/>
      <c r="H347"/>
      <c r="I347"/>
    </row>
    <row r="348" spans="1:9" ht="15" x14ac:dyDescent="0.25">
      <c r="B348" s="88" t="s">
        <v>166</v>
      </c>
      <c r="C348" s="88" t="s">
        <v>522</v>
      </c>
      <c r="D348" s="88"/>
      <c r="E348" s="88" t="s">
        <v>399</v>
      </c>
      <c r="F348" s="88"/>
      <c r="G348" s="88" t="s">
        <v>523</v>
      </c>
      <c r="H348" s="163" t="s">
        <v>400</v>
      </c>
      <c r="I348"/>
    </row>
    <row r="349" spans="1:9" ht="15" x14ac:dyDescent="0.25">
      <c r="B349" s="88"/>
      <c r="C349" s="90" t="s">
        <v>419</v>
      </c>
      <c r="D349" s="90">
        <v>2931</v>
      </c>
      <c r="E349" s="90" t="s">
        <v>419</v>
      </c>
      <c r="F349" s="90">
        <v>11386</v>
      </c>
      <c r="G349" s="90">
        <v>25275</v>
      </c>
      <c r="H349">
        <v>6058</v>
      </c>
      <c r="I349"/>
    </row>
    <row r="350" spans="1:9" ht="15" x14ac:dyDescent="0.25">
      <c r="B350" s="88"/>
      <c r="C350" s="90" t="s">
        <v>505</v>
      </c>
      <c r="D350" s="90">
        <v>643</v>
      </c>
      <c r="E350" s="90" t="s">
        <v>505</v>
      </c>
      <c r="F350" s="90">
        <v>1211</v>
      </c>
      <c r="G350" s="90"/>
      <c r="H350"/>
      <c r="I350"/>
    </row>
    <row r="351" spans="1:9" ht="15" x14ac:dyDescent="0.25">
      <c r="B351" s="88"/>
      <c r="C351" s="90" t="s">
        <v>168</v>
      </c>
      <c r="D351" s="90">
        <v>334</v>
      </c>
      <c r="E351" s="90" t="s">
        <v>168</v>
      </c>
      <c r="F351" s="90">
        <v>379</v>
      </c>
      <c r="G351" s="90"/>
      <c r="H351"/>
      <c r="I351"/>
    </row>
    <row r="352" spans="1:9" ht="15" x14ac:dyDescent="0.25">
      <c r="B352" s="88"/>
      <c r="C352" s="90" t="s">
        <v>524</v>
      </c>
      <c r="D352" s="90">
        <v>964</v>
      </c>
      <c r="E352" s="90" t="s">
        <v>524</v>
      </c>
      <c r="F352" s="90">
        <v>3434</v>
      </c>
      <c r="G352" s="90"/>
      <c r="H352"/>
      <c r="I352"/>
    </row>
    <row r="353" spans="2:9" ht="15" x14ac:dyDescent="0.25">
      <c r="B353" s="88"/>
      <c r="C353" s="90" t="s">
        <v>525</v>
      </c>
      <c r="D353" s="90">
        <v>369</v>
      </c>
      <c r="E353" s="90" t="s">
        <v>525</v>
      </c>
      <c r="F353" s="90">
        <v>7260</v>
      </c>
      <c r="G353" s="90"/>
      <c r="H353"/>
      <c r="I353"/>
    </row>
    <row r="354" spans="2:9" ht="15" x14ac:dyDescent="0.25">
      <c r="B354" s="90" t="s">
        <v>526</v>
      </c>
      <c r="C354" s="90"/>
      <c r="D354" s="90">
        <f>SUM(D349:D353)</f>
        <v>5241</v>
      </c>
      <c r="E354" s="90"/>
      <c r="F354" s="90">
        <f>SUM(F349:F353)</f>
        <v>23670</v>
      </c>
      <c r="G354" s="90">
        <f>SUM(G349:G353)</f>
        <v>25275</v>
      </c>
      <c r="H354" s="90">
        <f>SUM(H349:H353)</f>
        <v>6058</v>
      </c>
      <c r="I354"/>
    </row>
    <row r="355" spans="2:9" ht="15" x14ac:dyDescent="0.25">
      <c r="B355" s="88" t="s">
        <v>419</v>
      </c>
      <c r="C355" s="90" t="s">
        <v>522</v>
      </c>
      <c r="D355" s="90"/>
      <c r="E355" s="90" t="s">
        <v>399</v>
      </c>
      <c r="F355" s="90"/>
      <c r="G355" s="90" t="s">
        <v>527</v>
      </c>
      <c r="H355"/>
      <c r="I355"/>
    </row>
    <row r="356" spans="2:9" ht="15" x14ac:dyDescent="0.25">
      <c r="B356" s="88"/>
      <c r="C356" s="90" t="s">
        <v>505</v>
      </c>
      <c r="D356" s="90">
        <v>4571</v>
      </c>
      <c r="E356" s="90" t="s">
        <v>505</v>
      </c>
      <c r="F356" s="90">
        <v>2256</v>
      </c>
      <c r="G356" s="90">
        <v>43866</v>
      </c>
      <c r="H356">
        <v>5854</v>
      </c>
      <c r="I356"/>
    </row>
    <row r="357" spans="2:9" ht="15" x14ac:dyDescent="0.25">
      <c r="B357" s="88"/>
      <c r="C357" s="90" t="s">
        <v>168</v>
      </c>
      <c r="D357" s="90">
        <v>5126</v>
      </c>
      <c r="E357" s="90" t="s">
        <v>168</v>
      </c>
      <c r="F357" s="90">
        <v>1437</v>
      </c>
      <c r="G357" s="90"/>
      <c r="H357"/>
      <c r="I357"/>
    </row>
    <row r="358" spans="2:9" ht="15" x14ac:dyDescent="0.25">
      <c r="B358" s="88"/>
      <c r="C358" s="90" t="s">
        <v>166</v>
      </c>
      <c r="D358" s="90">
        <v>11386</v>
      </c>
      <c r="E358" s="90" t="s">
        <v>166</v>
      </c>
      <c r="F358" s="90">
        <v>2931</v>
      </c>
      <c r="G358" s="90"/>
      <c r="H358"/>
      <c r="I358"/>
    </row>
    <row r="359" spans="2:9" ht="15" x14ac:dyDescent="0.25">
      <c r="B359" s="88"/>
      <c r="C359" s="90" t="s">
        <v>525</v>
      </c>
      <c r="D359" s="90">
        <v>1169</v>
      </c>
      <c r="E359" s="90" t="s">
        <v>525</v>
      </c>
      <c r="F359" s="90">
        <v>7279</v>
      </c>
      <c r="G359" s="90"/>
      <c r="H359"/>
      <c r="I359"/>
    </row>
    <row r="360" spans="2:9" ht="15" x14ac:dyDescent="0.25">
      <c r="B360" s="88" t="s">
        <v>528</v>
      </c>
      <c r="C360" s="90"/>
      <c r="D360" s="90">
        <f>SUM(D356:D359)</f>
        <v>22252</v>
      </c>
      <c r="E360" s="90"/>
      <c r="F360" s="90">
        <f>SUM(F356:F359)</f>
        <v>13903</v>
      </c>
      <c r="G360" s="90">
        <f>SUM(G356:G359)</f>
        <v>43866</v>
      </c>
      <c r="H360" s="90">
        <f>SUM(H356:H359)</f>
        <v>5854</v>
      </c>
      <c r="I360"/>
    </row>
    <row r="361" spans="2:9" ht="15" x14ac:dyDescent="0.25">
      <c r="B361" s="88" t="s">
        <v>529</v>
      </c>
      <c r="C361" s="90" t="s">
        <v>522</v>
      </c>
      <c r="D361" s="90"/>
      <c r="E361" s="90" t="s">
        <v>399</v>
      </c>
      <c r="F361" s="90"/>
      <c r="G361" s="90" t="s">
        <v>530</v>
      </c>
      <c r="H361"/>
      <c r="I361"/>
    </row>
    <row r="362" spans="2:9" ht="15" x14ac:dyDescent="0.25">
      <c r="B362" s="88"/>
      <c r="C362" s="90" t="s">
        <v>505</v>
      </c>
      <c r="D362" s="90">
        <v>455</v>
      </c>
      <c r="E362" s="90" t="s">
        <v>505</v>
      </c>
      <c r="F362" s="90">
        <v>1173</v>
      </c>
      <c r="G362" s="90">
        <v>14632</v>
      </c>
      <c r="H362">
        <v>4570</v>
      </c>
      <c r="I362"/>
    </row>
    <row r="363" spans="2:9" ht="15" x14ac:dyDescent="0.25">
      <c r="B363" s="88"/>
      <c r="C363" s="90" t="s">
        <v>166</v>
      </c>
      <c r="D363" s="90">
        <v>265</v>
      </c>
      <c r="E363" s="90" t="s">
        <v>166</v>
      </c>
      <c r="F363" s="90">
        <v>218</v>
      </c>
      <c r="G363" s="90"/>
      <c r="H363"/>
      <c r="I363"/>
    </row>
    <row r="364" spans="2:9" ht="15" x14ac:dyDescent="0.25">
      <c r="B364" s="88"/>
      <c r="C364" s="90" t="s">
        <v>419</v>
      </c>
      <c r="D364" s="90">
        <v>1029</v>
      </c>
      <c r="E364" s="90" t="s">
        <v>419</v>
      </c>
      <c r="F364" s="90">
        <v>3763</v>
      </c>
      <c r="G364" s="90"/>
      <c r="H364"/>
      <c r="I364"/>
    </row>
    <row r="365" spans="2:9" ht="15" x14ac:dyDescent="0.25">
      <c r="B365" s="88"/>
      <c r="C365" s="90" t="s">
        <v>531</v>
      </c>
      <c r="D365" s="90">
        <v>4598</v>
      </c>
      <c r="E365" s="90" t="s">
        <v>531</v>
      </c>
      <c r="F365" s="90">
        <v>4598</v>
      </c>
      <c r="G365" s="90"/>
      <c r="H365"/>
      <c r="I365"/>
    </row>
    <row r="366" spans="2:9" ht="15" x14ac:dyDescent="0.25">
      <c r="B366" s="88"/>
      <c r="C366" s="90" t="s">
        <v>532</v>
      </c>
      <c r="D366" s="90">
        <v>179</v>
      </c>
      <c r="E366" s="90" t="s">
        <v>532</v>
      </c>
      <c r="F366" s="90">
        <v>731</v>
      </c>
      <c r="G366" s="90"/>
      <c r="H366"/>
      <c r="I366"/>
    </row>
    <row r="367" spans="2:9" ht="15" x14ac:dyDescent="0.25">
      <c r="B367" s="88"/>
      <c r="C367" s="90" t="s">
        <v>525</v>
      </c>
      <c r="D367" s="90">
        <v>395</v>
      </c>
      <c r="E367" s="90" t="s">
        <v>525</v>
      </c>
      <c r="F367" s="90">
        <v>4470</v>
      </c>
      <c r="G367" s="90"/>
      <c r="H367"/>
      <c r="I367"/>
    </row>
    <row r="368" spans="2:9" ht="15" x14ac:dyDescent="0.25">
      <c r="B368" s="88" t="s">
        <v>533</v>
      </c>
      <c r="C368" s="90"/>
      <c r="D368" s="90">
        <f>SUM(D362:D367)</f>
        <v>6921</v>
      </c>
      <c r="E368" s="90"/>
      <c r="F368" s="90">
        <f>SUM(F362:F367)</f>
        <v>14953</v>
      </c>
      <c r="G368" s="90">
        <f>SUM(G362:G367)</f>
        <v>14632</v>
      </c>
      <c r="H368" s="90">
        <f>SUM(H362:H367)</f>
        <v>4570</v>
      </c>
      <c r="I368"/>
    </row>
    <row r="369" spans="2:9" ht="15" x14ac:dyDescent="0.25">
      <c r="B369" s="88" t="s">
        <v>505</v>
      </c>
      <c r="C369" s="90" t="s">
        <v>522</v>
      </c>
      <c r="D369" s="90"/>
      <c r="E369" s="90" t="s">
        <v>399</v>
      </c>
      <c r="F369" s="90"/>
      <c r="G369" s="90" t="s">
        <v>534</v>
      </c>
      <c r="H369"/>
      <c r="I369"/>
    </row>
    <row r="370" spans="2:9" ht="15" x14ac:dyDescent="0.25">
      <c r="B370" s="88"/>
      <c r="C370" s="90" t="s">
        <v>535</v>
      </c>
      <c r="D370" s="90">
        <v>63</v>
      </c>
      <c r="E370" s="90" t="s">
        <v>535</v>
      </c>
      <c r="F370" s="90">
        <v>84</v>
      </c>
      <c r="G370" s="90">
        <v>41086</v>
      </c>
      <c r="H370">
        <v>10666</v>
      </c>
      <c r="I370"/>
    </row>
    <row r="371" spans="2:9" ht="15" x14ac:dyDescent="0.25">
      <c r="B371" s="88"/>
      <c r="C371" s="90" t="s">
        <v>536</v>
      </c>
      <c r="D371" s="90">
        <v>710</v>
      </c>
      <c r="E371" s="90" t="s">
        <v>536</v>
      </c>
      <c r="F371" s="90">
        <v>1026</v>
      </c>
      <c r="G371" s="90"/>
      <c r="H371"/>
      <c r="I371"/>
    </row>
    <row r="372" spans="2:9" ht="15" x14ac:dyDescent="0.25">
      <c r="B372" s="88"/>
      <c r="C372" s="90" t="s">
        <v>537</v>
      </c>
      <c r="D372" s="90">
        <v>355</v>
      </c>
      <c r="E372" s="90" t="s">
        <v>537</v>
      </c>
      <c r="F372" s="90">
        <v>241</v>
      </c>
      <c r="G372" s="90"/>
      <c r="H372"/>
      <c r="I372"/>
    </row>
    <row r="373" spans="2:9" ht="15" x14ac:dyDescent="0.25">
      <c r="B373" s="88"/>
      <c r="C373" s="90" t="s">
        <v>532</v>
      </c>
      <c r="D373" s="90">
        <v>342</v>
      </c>
      <c r="E373" s="90" t="s">
        <v>532</v>
      </c>
      <c r="F373" s="90">
        <v>1551</v>
      </c>
      <c r="G373" s="90"/>
      <c r="H373"/>
      <c r="I373"/>
    </row>
    <row r="374" spans="2:9" ht="15" x14ac:dyDescent="0.25">
      <c r="B374" s="88"/>
      <c r="C374" s="90" t="s">
        <v>531</v>
      </c>
      <c r="D374" s="90">
        <v>1982</v>
      </c>
      <c r="E374" s="90" t="s">
        <v>531</v>
      </c>
      <c r="F374" s="90">
        <v>1774</v>
      </c>
      <c r="G374" s="90"/>
      <c r="H374"/>
      <c r="I374"/>
    </row>
    <row r="375" spans="2:9" ht="15" x14ac:dyDescent="0.25">
      <c r="B375" s="88"/>
      <c r="C375" s="90" t="s">
        <v>529</v>
      </c>
      <c r="D375" s="90">
        <v>1173</v>
      </c>
      <c r="E375" s="90" t="s">
        <v>529</v>
      </c>
      <c r="F375" s="90">
        <v>455</v>
      </c>
      <c r="G375" s="90"/>
      <c r="H375"/>
      <c r="I375"/>
    </row>
    <row r="376" spans="2:9" ht="15" x14ac:dyDescent="0.25">
      <c r="B376" s="88"/>
      <c r="C376" s="90" t="s">
        <v>419</v>
      </c>
      <c r="D376" s="90">
        <v>2256</v>
      </c>
      <c r="E376" s="90" t="s">
        <v>419</v>
      </c>
      <c r="F376" s="90">
        <v>4703</v>
      </c>
      <c r="G376" s="90"/>
      <c r="H376"/>
      <c r="I376"/>
    </row>
    <row r="377" spans="2:9" ht="15" x14ac:dyDescent="0.25">
      <c r="B377" s="88"/>
      <c r="C377" s="90" t="s">
        <v>166</v>
      </c>
      <c r="D377" s="90">
        <v>1211</v>
      </c>
      <c r="E377" s="90" t="s">
        <v>166</v>
      </c>
      <c r="F377" s="90">
        <v>643</v>
      </c>
      <c r="G377" s="90"/>
      <c r="H377"/>
      <c r="I377"/>
    </row>
    <row r="378" spans="2:9" ht="15" x14ac:dyDescent="0.25">
      <c r="B378" s="88"/>
      <c r="C378" s="90" t="s">
        <v>525</v>
      </c>
      <c r="D378" s="90">
        <v>978</v>
      </c>
      <c r="E378" s="90" t="s">
        <v>525</v>
      </c>
      <c r="F378" s="90">
        <v>9871</v>
      </c>
      <c r="G378" s="90"/>
      <c r="H378"/>
      <c r="I378"/>
    </row>
    <row r="379" spans="2:9" ht="15" x14ac:dyDescent="0.25">
      <c r="B379" s="88" t="s">
        <v>538</v>
      </c>
      <c r="C379" s="90"/>
      <c r="D379" s="90">
        <f>SUM(D370:D378)</f>
        <v>9070</v>
      </c>
      <c r="E379" s="90"/>
      <c r="F379" s="90">
        <f>SUM(F370:F378)</f>
        <v>20348</v>
      </c>
      <c r="G379" s="90">
        <f>SUM(G370:G378)</f>
        <v>41086</v>
      </c>
      <c r="H379" s="90">
        <f>SUM(H370:H378)</f>
        <v>10666</v>
      </c>
      <c r="I379"/>
    </row>
    <row r="380" spans="2:9" ht="15" x14ac:dyDescent="0.25">
      <c r="B380" s="88" t="s">
        <v>165</v>
      </c>
      <c r="C380" s="90" t="s">
        <v>522</v>
      </c>
      <c r="D380" s="90"/>
      <c r="E380" s="90" t="s">
        <v>399</v>
      </c>
      <c r="F380" s="90"/>
      <c r="G380" s="90" t="s">
        <v>539</v>
      </c>
      <c r="H380"/>
      <c r="I380"/>
    </row>
    <row r="381" spans="2:9" ht="15" x14ac:dyDescent="0.25">
      <c r="B381" s="88"/>
      <c r="C381" s="90" t="s">
        <v>531</v>
      </c>
      <c r="D381" s="90">
        <v>8059</v>
      </c>
      <c r="E381" s="90" t="s">
        <v>540</v>
      </c>
      <c r="F381" s="90">
        <v>20356</v>
      </c>
      <c r="G381" s="90">
        <v>155813</v>
      </c>
      <c r="H381">
        <v>27148</v>
      </c>
      <c r="I381"/>
    </row>
    <row r="382" spans="2:9" ht="15" x14ac:dyDescent="0.25">
      <c r="B382" s="88"/>
      <c r="C382" s="90" t="s">
        <v>541</v>
      </c>
      <c r="D382" s="90">
        <v>184</v>
      </c>
      <c r="E382" s="90" t="s">
        <v>542</v>
      </c>
      <c r="F382" s="90">
        <v>2140</v>
      </c>
      <c r="G382" s="90"/>
      <c r="H382"/>
      <c r="I382"/>
    </row>
    <row r="383" spans="2:9" ht="15" x14ac:dyDescent="0.25">
      <c r="B383" s="88"/>
      <c r="C383" s="90" t="s">
        <v>543</v>
      </c>
      <c r="D383" s="90">
        <v>1039</v>
      </c>
      <c r="E383" s="90" t="s">
        <v>531</v>
      </c>
      <c r="F383" s="90">
        <v>6486</v>
      </c>
      <c r="G383" s="90"/>
      <c r="H383"/>
      <c r="I383"/>
    </row>
    <row r="384" spans="2:9" ht="15" x14ac:dyDescent="0.25">
      <c r="B384" s="88"/>
      <c r="C384" s="90" t="s">
        <v>544</v>
      </c>
      <c r="D384" s="90">
        <v>1144</v>
      </c>
      <c r="E384" s="90" t="s">
        <v>541</v>
      </c>
      <c r="F384" s="90">
        <v>2757</v>
      </c>
      <c r="G384" s="90"/>
      <c r="H384"/>
      <c r="I384"/>
    </row>
    <row r="385" spans="2:9" ht="15" x14ac:dyDescent="0.25">
      <c r="B385" s="88"/>
      <c r="C385" s="90" t="s">
        <v>545</v>
      </c>
      <c r="D385" s="90">
        <v>566</v>
      </c>
      <c r="E385" s="90" t="s">
        <v>543</v>
      </c>
      <c r="F385" s="90">
        <v>1685</v>
      </c>
      <c r="G385" s="90"/>
      <c r="H385"/>
      <c r="I385"/>
    </row>
    <row r="386" spans="2:9" ht="15" x14ac:dyDescent="0.25">
      <c r="B386" s="88"/>
      <c r="C386" s="90" t="s">
        <v>546</v>
      </c>
      <c r="D386" s="90">
        <v>367</v>
      </c>
      <c r="E386" s="90" t="s">
        <v>547</v>
      </c>
      <c r="F386" s="90">
        <v>3103</v>
      </c>
      <c r="G386" s="90"/>
      <c r="H386"/>
      <c r="I386"/>
    </row>
    <row r="387" spans="2:9" ht="15" x14ac:dyDescent="0.25">
      <c r="B387" s="88"/>
      <c r="C387" s="90" t="s">
        <v>525</v>
      </c>
      <c r="D387" s="90">
        <v>710</v>
      </c>
      <c r="E387" s="90" t="s">
        <v>548</v>
      </c>
      <c r="F387" s="90">
        <v>1525</v>
      </c>
      <c r="G387" s="90"/>
      <c r="H387"/>
      <c r="I387"/>
    </row>
    <row r="388" spans="2:9" ht="15" x14ac:dyDescent="0.25">
      <c r="B388" s="88"/>
      <c r="C388" s="90"/>
      <c r="D388" s="90"/>
      <c r="E388" s="90" t="s">
        <v>545</v>
      </c>
      <c r="F388" s="90">
        <v>1053</v>
      </c>
      <c r="G388" s="90"/>
      <c r="H388"/>
      <c r="I388"/>
    </row>
    <row r="389" spans="2:9" ht="15" x14ac:dyDescent="0.25">
      <c r="B389" s="88"/>
      <c r="C389" s="90"/>
      <c r="D389" s="90"/>
      <c r="E389" s="90" t="s">
        <v>546</v>
      </c>
      <c r="F389" s="90">
        <v>350</v>
      </c>
      <c r="G389" s="90"/>
      <c r="H389"/>
      <c r="I389"/>
    </row>
    <row r="390" spans="2:9" ht="15" x14ac:dyDescent="0.25">
      <c r="B390" s="88"/>
      <c r="C390" s="90"/>
      <c r="D390" s="90"/>
      <c r="E390" s="90" t="s">
        <v>525</v>
      </c>
      <c r="F390" s="90">
        <v>2864</v>
      </c>
      <c r="G390" s="90"/>
      <c r="H390"/>
      <c r="I390"/>
    </row>
    <row r="391" spans="2:9" ht="15" x14ac:dyDescent="0.25">
      <c r="B391" t="s">
        <v>549</v>
      </c>
      <c r="C391"/>
      <c r="D391">
        <f>SUM(D381:D390)</f>
        <v>12069</v>
      </c>
      <c r="E391"/>
      <c r="F391">
        <f>SUM(F381:F390)</f>
        <v>42319</v>
      </c>
      <c r="G391">
        <f>SUM(G381:G390)</f>
        <v>155813</v>
      </c>
      <c r="H391">
        <f>SUM(H381:H390)</f>
        <v>27148</v>
      </c>
      <c r="I391"/>
    </row>
    <row r="392" spans="2:9" ht="15" x14ac:dyDescent="0.25">
      <c r="B392"/>
      <c r="C392"/>
      <c r="D392"/>
      <c r="E392"/>
      <c r="F392"/>
      <c r="G392"/>
      <c r="H392"/>
      <c r="I392"/>
    </row>
    <row r="393" spans="2:9" ht="15" x14ac:dyDescent="0.25">
      <c r="B393"/>
      <c r="C393"/>
      <c r="D393"/>
      <c r="E393"/>
      <c r="F393"/>
      <c r="G393"/>
      <c r="H393"/>
      <c r="I393"/>
    </row>
    <row r="394" spans="2:9" ht="15" x14ac:dyDescent="0.25">
      <c r="B394" s="86" t="s">
        <v>550</v>
      </c>
      <c r="C394"/>
      <c r="D394"/>
      <c r="E394"/>
      <c r="F394"/>
      <c r="G394" t="s">
        <v>551</v>
      </c>
      <c r="H394"/>
      <c r="I394"/>
    </row>
    <row r="395" spans="2:9" ht="15" x14ac:dyDescent="0.25">
      <c r="B395" s="88"/>
      <c r="C395" s="88">
        <v>2020</v>
      </c>
      <c r="D395" s="88">
        <v>2016</v>
      </c>
      <c r="E395" s="88">
        <v>2012</v>
      </c>
      <c r="F395"/>
      <c r="G395"/>
      <c r="H395"/>
      <c r="I395"/>
    </row>
    <row r="396" spans="2:9" ht="15" x14ac:dyDescent="0.25">
      <c r="B396" s="88" t="s">
        <v>166</v>
      </c>
      <c r="C396" s="90" t="s">
        <v>552</v>
      </c>
      <c r="D396" s="90" t="s">
        <v>553</v>
      </c>
      <c r="E396" s="90" t="s">
        <v>554</v>
      </c>
      <c r="F396"/>
      <c r="G396"/>
      <c r="H396"/>
      <c r="I396"/>
    </row>
    <row r="397" spans="2:9" ht="15" x14ac:dyDescent="0.25">
      <c r="B397" s="88" t="s">
        <v>419</v>
      </c>
      <c r="C397" s="90" t="s">
        <v>555</v>
      </c>
      <c r="D397" s="90" t="s">
        <v>556</v>
      </c>
      <c r="E397" s="90" t="s">
        <v>557</v>
      </c>
      <c r="F397"/>
      <c r="G397"/>
      <c r="H397"/>
      <c r="I397"/>
    </row>
    <row r="398" spans="2:9" ht="15" x14ac:dyDescent="0.25">
      <c r="B398" s="88" t="s">
        <v>529</v>
      </c>
      <c r="C398" s="90" t="s">
        <v>558</v>
      </c>
      <c r="D398" s="90" t="s">
        <v>559</v>
      </c>
      <c r="E398" s="90" t="s">
        <v>558</v>
      </c>
      <c r="F398" s="83" t="s">
        <v>560</v>
      </c>
      <c r="G398"/>
      <c r="H398"/>
      <c r="I398"/>
    </row>
    <row r="399" spans="2:9" ht="15" x14ac:dyDescent="0.25">
      <c r="B399" s="88" t="s">
        <v>505</v>
      </c>
      <c r="C399" s="90" t="s">
        <v>561</v>
      </c>
      <c r="D399" s="90" t="s">
        <v>562</v>
      </c>
      <c r="E399" s="90" t="s">
        <v>563</v>
      </c>
      <c r="F399"/>
      <c r="G399"/>
      <c r="H399"/>
      <c r="I399"/>
    </row>
    <row r="400" spans="2:9" ht="15" x14ac:dyDescent="0.25">
      <c r="B400"/>
      <c r="C400"/>
      <c r="D400"/>
      <c r="E400"/>
      <c r="F400"/>
      <c r="G400"/>
      <c r="H400"/>
      <c r="I400"/>
    </row>
    <row r="401" spans="2:9" ht="15" x14ac:dyDescent="0.25">
      <c r="B401" t="s">
        <v>564</v>
      </c>
      <c r="C401"/>
      <c r="D401"/>
      <c r="E401"/>
      <c r="F401"/>
      <c r="G401"/>
      <c r="H401"/>
      <c r="I401"/>
    </row>
  </sheetData>
  <mergeCells count="29">
    <mergeCell ref="T128:U128"/>
    <mergeCell ref="E24:F24"/>
    <mergeCell ref="C44:D44"/>
    <mergeCell ref="E44:F44"/>
    <mergeCell ref="C63:D63"/>
    <mergeCell ref="E63:F63"/>
    <mergeCell ref="C72:E72"/>
    <mergeCell ref="F72:H72"/>
    <mergeCell ref="I72:K72"/>
    <mergeCell ref="L72:N72"/>
    <mergeCell ref="T101:U101"/>
    <mergeCell ref="T110:U110"/>
    <mergeCell ref="T119:U119"/>
    <mergeCell ref="C138:H138"/>
    <mergeCell ref="I138:N138"/>
    <mergeCell ref="C139:E139"/>
    <mergeCell ref="F139:H139"/>
    <mergeCell ref="I139:K139"/>
    <mergeCell ref="L139:N139"/>
    <mergeCell ref="C329:D329"/>
    <mergeCell ref="E329:F329"/>
    <mergeCell ref="G329:H329"/>
    <mergeCell ref="I329:J329"/>
    <mergeCell ref="B149:G149"/>
    <mergeCell ref="H149:Q149"/>
    <mergeCell ref="H179:Q179"/>
    <mergeCell ref="C276:E276"/>
    <mergeCell ref="F276:H276"/>
    <mergeCell ref="I276:K276"/>
  </mergeCells>
  <hyperlinks>
    <hyperlink ref="E347" r:id="rId1" xr:uid="{2BB738C2-F52C-4E71-8558-28CFF62DF426}"/>
    <hyperlink ref="F398" r:id="rId2" xr:uid="{D69D3FB1-EA03-47C5-B1E9-758746961CD6}"/>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0249A-DDBE-415F-88CF-815A019655DE}">
  <sheetPr>
    <tabColor rgb="FF00B050"/>
  </sheetPr>
  <dimension ref="B2:B37"/>
  <sheetViews>
    <sheetView showGridLines="0" zoomScale="95" workbookViewId="0">
      <selection activeCell="E15" sqref="E15"/>
    </sheetView>
  </sheetViews>
  <sheetFormatPr defaultRowHeight="14.25" x14ac:dyDescent="0.2"/>
  <cols>
    <col min="1" max="1" width="9.140625" style="12"/>
    <col min="2" max="2" width="133.42578125" style="12" customWidth="1"/>
    <col min="3" max="5" width="9.140625" style="12"/>
    <col min="6" max="6" width="8.7109375" style="12" customWidth="1"/>
    <col min="7" max="16384" width="9.140625" style="12"/>
  </cols>
  <sheetData>
    <row r="2" spans="2:2" ht="18" x14ac:dyDescent="0.25">
      <c r="B2" s="114" t="s">
        <v>30</v>
      </c>
    </row>
    <row r="3" spans="2:2" ht="18" x14ac:dyDescent="0.25">
      <c r="B3" s="114" t="s">
        <v>0</v>
      </c>
    </row>
    <row r="5" spans="2:2" ht="20.25" x14ac:dyDescent="0.3">
      <c r="B5" s="115" t="s">
        <v>31</v>
      </c>
    </row>
    <row r="7" spans="2:2" ht="18" x14ac:dyDescent="0.25">
      <c r="B7" s="112" t="s">
        <v>32</v>
      </c>
    </row>
    <row r="8" spans="2:2" x14ac:dyDescent="0.2">
      <c r="B8" s="40"/>
    </row>
    <row r="9" spans="2:2" x14ac:dyDescent="0.2">
      <c r="B9" s="40"/>
    </row>
    <row r="10" spans="2:2" x14ac:dyDescent="0.2">
      <c r="B10" s="40"/>
    </row>
    <row r="11" spans="2:2" x14ac:dyDescent="0.2">
      <c r="B11" s="40"/>
    </row>
    <row r="12" spans="2:2" x14ac:dyDescent="0.2">
      <c r="B12" s="40"/>
    </row>
    <row r="13" spans="2:2" x14ac:dyDescent="0.2">
      <c r="B13" s="40"/>
    </row>
    <row r="15" spans="2:2" ht="18" x14ac:dyDescent="0.25">
      <c r="B15" s="113" t="s">
        <v>33</v>
      </c>
    </row>
    <row r="16" spans="2:2" x14ac:dyDescent="0.2">
      <c r="B16" s="40"/>
    </row>
    <row r="17" spans="2:2" x14ac:dyDescent="0.2">
      <c r="B17" s="40"/>
    </row>
    <row r="18" spans="2:2" x14ac:dyDescent="0.2">
      <c r="B18" s="40"/>
    </row>
    <row r="19" spans="2:2" x14ac:dyDescent="0.2">
      <c r="B19" s="40"/>
    </row>
    <row r="20" spans="2:2" x14ac:dyDescent="0.2">
      <c r="B20" s="40"/>
    </row>
    <row r="21" spans="2:2" x14ac:dyDescent="0.2">
      <c r="B21" s="40"/>
    </row>
    <row r="23" spans="2:2" ht="18" x14ac:dyDescent="0.25">
      <c r="B23" s="112" t="s">
        <v>34</v>
      </c>
    </row>
    <row r="24" spans="2:2" x14ac:dyDescent="0.2">
      <c r="B24" s="40"/>
    </row>
    <row r="25" spans="2:2" x14ac:dyDescent="0.2">
      <c r="B25" s="40"/>
    </row>
    <row r="26" spans="2:2" x14ac:dyDescent="0.2">
      <c r="B26" s="40"/>
    </row>
    <row r="27" spans="2:2" x14ac:dyDescent="0.2">
      <c r="B27" s="40"/>
    </row>
    <row r="28" spans="2:2" x14ac:dyDescent="0.2">
      <c r="B28" s="40"/>
    </row>
    <row r="29" spans="2:2" x14ac:dyDescent="0.2">
      <c r="B29" s="40"/>
    </row>
    <row r="31" spans="2:2" ht="18" x14ac:dyDescent="0.25">
      <c r="B31" s="112" t="s">
        <v>13</v>
      </c>
    </row>
    <row r="32" spans="2:2" x14ac:dyDescent="0.2">
      <c r="B32" s="40"/>
    </row>
    <row r="33" spans="2:2" x14ac:dyDescent="0.2">
      <c r="B33" s="40"/>
    </row>
    <row r="34" spans="2:2" x14ac:dyDescent="0.2">
      <c r="B34" s="40"/>
    </row>
    <row r="35" spans="2:2" x14ac:dyDescent="0.2">
      <c r="B35" s="40"/>
    </row>
    <row r="36" spans="2:2" x14ac:dyDescent="0.2">
      <c r="B36" s="40"/>
    </row>
    <row r="37" spans="2:2" x14ac:dyDescent="0.2">
      <c r="B37" s="40"/>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1B8B8-5C05-479E-A5F3-9392FF09AD98}">
  <dimension ref="B2:P71"/>
  <sheetViews>
    <sheetView workbookViewId="0">
      <selection activeCell="I3" sqref="I3:P27"/>
    </sheetView>
  </sheetViews>
  <sheetFormatPr defaultRowHeight="15" x14ac:dyDescent="0.25"/>
  <cols>
    <col min="2" max="7" width="15.7109375" customWidth="1"/>
    <col min="9" max="14" width="12.7109375" customWidth="1"/>
    <col min="15" max="15" width="15.7109375" customWidth="1"/>
  </cols>
  <sheetData>
    <row r="2" spans="2:16" ht="15.75" thickBot="1" x14ac:dyDescent="0.3"/>
    <row r="3" spans="2:16" x14ac:dyDescent="0.25">
      <c r="B3" s="17" t="s">
        <v>163</v>
      </c>
      <c r="C3" s="76"/>
      <c r="D3" s="76"/>
      <c r="E3" s="76"/>
      <c r="F3" s="76"/>
      <c r="G3" s="77"/>
      <c r="I3" s="16" t="s">
        <v>164</v>
      </c>
    </row>
    <row r="4" spans="2:16" x14ac:dyDescent="0.25">
      <c r="B4" s="18" t="s">
        <v>61</v>
      </c>
      <c r="C4" s="14" t="s">
        <v>165</v>
      </c>
      <c r="D4" s="14" t="s">
        <v>166</v>
      </c>
      <c r="E4" s="14" t="s">
        <v>167</v>
      </c>
      <c r="F4" s="14" t="s">
        <v>168</v>
      </c>
      <c r="G4" s="19" t="s">
        <v>169</v>
      </c>
      <c r="I4" s="14" t="s">
        <v>61</v>
      </c>
      <c r="J4" s="13" t="s">
        <v>166</v>
      </c>
      <c r="K4" s="13" t="s">
        <v>167</v>
      </c>
      <c r="L4" s="13" t="s">
        <v>168</v>
      </c>
      <c r="M4" s="13" t="s">
        <v>169</v>
      </c>
      <c r="N4" s="13" t="s">
        <v>165</v>
      </c>
      <c r="O4" s="166" t="s">
        <v>170</v>
      </c>
    </row>
    <row r="5" spans="2:16" x14ac:dyDescent="0.25">
      <c r="B5" s="22" t="s">
        <v>67</v>
      </c>
      <c r="C5" s="26">
        <f t="shared" ref="C5:C14" si="0">SUM(D5:G5)</f>
        <v>41290.5697024244</v>
      </c>
      <c r="D5" s="26">
        <f>'[1]2.3'!$D$23</f>
        <v>9785.9868600000009</v>
      </c>
      <c r="E5" s="26">
        <v>12333.335916</v>
      </c>
      <c r="F5" s="26">
        <f>32986.341612*0.2087</f>
        <v>6884.249494424399</v>
      </c>
      <c r="G5" s="28">
        <v>12286.997432</v>
      </c>
      <c r="I5" s="165" t="s">
        <v>79</v>
      </c>
      <c r="J5" s="26">
        <f>D5+D6</f>
        <v>19199.533002</v>
      </c>
      <c r="K5" s="26">
        <f>E5+E6</f>
        <v>24001.382175999999</v>
      </c>
      <c r="L5" s="26">
        <f>F5+F6</f>
        <v>13414.983186663598</v>
      </c>
      <c r="M5" s="26">
        <f>G5+G6</f>
        <v>23919.492256999998</v>
      </c>
      <c r="N5" s="26">
        <f>C5+C6</f>
        <v>80535.390621663595</v>
      </c>
      <c r="O5" s="31">
        <f>N5/$N$10</f>
        <v>0.16765848759790883</v>
      </c>
    </row>
    <row r="6" spans="2:16" x14ac:dyDescent="0.25">
      <c r="B6" s="20" t="s">
        <v>68</v>
      </c>
      <c r="C6" s="27">
        <f t="shared" si="0"/>
        <v>39244.820919239195</v>
      </c>
      <c r="D6" s="27">
        <f>'[1]2.3'!$D$6</f>
        <v>9413.5461419999992</v>
      </c>
      <c r="E6" s="27">
        <v>11668.046259999999</v>
      </c>
      <c r="F6" s="27">
        <f>31292.447016*0.2087</f>
        <v>6530.7336922391996</v>
      </c>
      <c r="G6" s="29">
        <v>11632.494825</v>
      </c>
      <c r="I6" s="165" t="s">
        <v>80</v>
      </c>
      <c r="J6" s="26">
        <f>D7+D8</f>
        <v>10825.686261999999</v>
      </c>
      <c r="K6" s="26">
        <f>E7+E8</f>
        <v>16479.142404999999</v>
      </c>
      <c r="L6" s="26">
        <f>F7+F8</f>
        <v>7388.5611088713995</v>
      </c>
      <c r="M6" s="26">
        <f>G7+G8</f>
        <v>13245.987836</v>
      </c>
      <c r="N6" s="26">
        <f>C7+C8</f>
        <v>47939.377611871401</v>
      </c>
      <c r="O6" s="31">
        <f t="shared" ref="O6:O10" si="1">N6/$N$10</f>
        <v>9.9800143573518352E-2</v>
      </c>
    </row>
    <row r="7" spans="2:16" x14ac:dyDescent="0.25">
      <c r="B7" s="22" t="s">
        <v>69</v>
      </c>
      <c r="C7" s="26">
        <f t="shared" si="0"/>
        <v>24684.372387838601</v>
      </c>
      <c r="D7" s="26">
        <f>'[1]2.3'!$D$24+'[1]2.3'!$D$25</f>
        <v>5698.3163640000002</v>
      </c>
      <c r="E7" s="26">
        <v>8089.3084920000001</v>
      </c>
      <c r="F7" s="26">
        <f>18340.148878*0.2087</f>
        <v>3827.5890708386</v>
      </c>
      <c r="G7" s="28">
        <v>7069.158461</v>
      </c>
      <c r="I7" s="165" t="s">
        <v>82</v>
      </c>
      <c r="J7" s="26">
        <f>D9+D10</f>
        <v>58003.297353999995</v>
      </c>
      <c r="K7" s="26">
        <f>E9+E10</f>
        <v>77574.887533000001</v>
      </c>
      <c r="L7" s="26">
        <f>F9+F10</f>
        <v>39636.871613077194</v>
      </c>
      <c r="M7" s="26">
        <f>G9+G10</f>
        <v>75989.302391000005</v>
      </c>
      <c r="N7" s="26">
        <f>C9+C10</f>
        <v>251204.35889107722</v>
      </c>
      <c r="O7" s="31">
        <f t="shared" si="1"/>
        <v>0.52295695798551434</v>
      </c>
      <c r="P7" s="167">
        <f>O6+O7</f>
        <v>0.62275710155903274</v>
      </c>
    </row>
    <row r="8" spans="2:16" x14ac:dyDescent="0.25">
      <c r="B8" s="20" t="s">
        <v>70</v>
      </c>
      <c r="C8" s="27">
        <f t="shared" si="0"/>
        <v>23255.0052240328</v>
      </c>
      <c r="D8" s="27">
        <f>'[1]2.3'!$D$7+'[1]2.3'!$D$8</f>
        <v>5127.3698979999999</v>
      </c>
      <c r="E8" s="27">
        <v>8389.8339130000004</v>
      </c>
      <c r="F8" s="27">
        <f>17062.635544*0.2087</f>
        <v>3560.9720380327999</v>
      </c>
      <c r="G8" s="29">
        <v>6176.8293750000003</v>
      </c>
      <c r="I8" s="165" t="s">
        <v>83</v>
      </c>
      <c r="J8" s="26">
        <f>D11+D12</f>
        <v>23479.041026999999</v>
      </c>
      <c r="K8" s="26">
        <f>E11+E12</f>
        <v>21922.697551999998</v>
      </c>
      <c r="L8" s="26">
        <f>F11+F12</f>
        <v>13722.624782512599</v>
      </c>
      <c r="M8" s="26">
        <f>G11+G12</f>
        <v>29928.792939999999</v>
      </c>
      <c r="N8" s="26">
        <f>C11+C12</f>
        <v>89053.156301512601</v>
      </c>
      <c r="O8" s="31">
        <f t="shared" si="1"/>
        <v>0.18539076281968833</v>
      </c>
      <c r="P8" s="12"/>
    </row>
    <row r="9" spans="2:16" x14ac:dyDescent="0.25">
      <c r="B9" s="22" t="s">
        <v>71</v>
      </c>
      <c r="C9" s="26">
        <f t="shared" si="0"/>
        <v>122272.129812527</v>
      </c>
      <c r="D9" s="26">
        <f>SUM('[1]2.3'!$D$26:$D$33)</f>
        <v>28085.073445999999</v>
      </c>
      <c r="E9" s="26">
        <v>38088.578358999999</v>
      </c>
      <c r="F9" s="26">
        <f>91873.43121*0.2087</f>
        <v>19173.985093526997</v>
      </c>
      <c r="G9" s="28">
        <v>36924.492914000002</v>
      </c>
      <c r="I9" s="165" t="s">
        <v>85</v>
      </c>
      <c r="J9" s="26">
        <f>D13+D14</f>
        <v>2936.5502530000003</v>
      </c>
      <c r="K9" s="26">
        <f>E13+E14</f>
        <v>3029.8084479999998</v>
      </c>
      <c r="L9" s="26">
        <f>F13+F14</f>
        <v>1561.2205988384999</v>
      </c>
      <c r="M9" s="26">
        <f>G13+G14</f>
        <v>4093.9313200000001</v>
      </c>
      <c r="N9" s="26">
        <f>C13+C14</f>
        <v>11621.5106198385</v>
      </c>
      <c r="O9" s="31">
        <f t="shared" si="1"/>
        <v>2.4193648023370207E-2</v>
      </c>
      <c r="P9" s="167">
        <f>O8+O9</f>
        <v>0.20958441084305854</v>
      </c>
    </row>
    <row r="10" spans="2:16" x14ac:dyDescent="0.25">
      <c r="B10" s="20" t="s">
        <v>72</v>
      </c>
      <c r="C10" s="27">
        <f t="shared" si="0"/>
        <v>128932.22907855021</v>
      </c>
      <c r="D10" s="27">
        <f>SUM('[1]2.3'!$D$9:$D$16)</f>
        <v>29918.223908</v>
      </c>
      <c r="E10" s="27">
        <v>39486.309174000002</v>
      </c>
      <c r="F10" s="27">
        <f>98049.288546*0.2087</f>
        <v>20462.8865195502</v>
      </c>
      <c r="G10" s="29">
        <v>39064.809476999995</v>
      </c>
      <c r="N10" s="26">
        <f>SUM(N5:N9)</f>
        <v>480353.79404596332</v>
      </c>
      <c r="O10" s="31">
        <f t="shared" si="1"/>
        <v>1</v>
      </c>
      <c r="P10" s="12"/>
    </row>
    <row r="11" spans="2:16" x14ac:dyDescent="0.25">
      <c r="B11" s="22" t="s">
        <v>73</v>
      </c>
      <c r="C11" s="26">
        <f t="shared" si="0"/>
        <v>41412.294668708506</v>
      </c>
      <c r="D11" s="26">
        <f>SUM('[1]2.3'!$D$34:$D$37)</f>
        <v>11028.790335</v>
      </c>
      <c r="E11" s="26">
        <v>9875.5530760000001</v>
      </c>
      <c r="F11" s="26">
        <f>30655.342955*0.2087</f>
        <v>6397.7700747085</v>
      </c>
      <c r="G11" s="28">
        <v>14110.181183000001</v>
      </c>
      <c r="I11" s="16" t="s">
        <v>171</v>
      </c>
      <c r="P11" s="12"/>
    </row>
    <row r="12" spans="2:16" x14ac:dyDescent="0.25">
      <c r="B12" s="20" t="s">
        <v>74</v>
      </c>
      <c r="C12" s="27">
        <f t="shared" si="0"/>
        <v>47640.861632804095</v>
      </c>
      <c r="D12" s="11">
        <f>SUM('[1]2.3'!$D$17:$D$20)</f>
        <v>12450.250692</v>
      </c>
      <c r="E12" s="11">
        <v>12047.144475999999</v>
      </c>
      <c r="F12" s="11">
        <f>35097.530943*0.2087</f>
        <v>7324.8547078040992</v>
      </c>
      <c r="G12" s="30">
        <v>15818.611757000001</v>
      </c>
      <c r="I12" s="14" t="s">
        <v>61</v>
      </c>
      <c r="J12" s="13" t="s">
        <v>166</v>
      </c>
      <c r="K12" s="13" t="s">
        <v>167</v>
      </c>
      <c r="L12" s="13" t="s">
        <v>168</v>
      </c>
      <c r="M12" s="13" t="s">
        <v>169</v>
      </c>
      <c r="N12" s="13" t="s">
        <v>165</v>
      </c>
      <c r="O12" s="166" t="s">
        <v>170</v>
      </c>
      <c r="P12" s="12"/>
    </row>
    <row r="13" spans="2:16" x14ac:dyDescent="0.25">
      <c r="B13" s="22" t="s">
        <v>75</v>
      </c>
      <c r="C13" s="26">
        <f t="shared" si="0"/>
        <v>4462.9888177017001</v>
      </c>
      <c r="D13" s="26">
        <f>SUM('[1]2.3'!$D$38:$D$39)</f>
        <v>1109.9592949999999</v>
      </c>
      <c r="E13" s="26">
        <v>1090.598424</v>
      </c>
      <c r="F13" s="26">
        <f>2843.933391*0.2087</f>
        <v>593.52889870169997</v>
      </c>
      <c r="G13" s="28">
        <v>1668.9022</v>
      </c>
      <c r="I13" s="165" t="s">
        <v>79</v>
      </c>
      <c r="J13" s="26">
        <f>D33+D34</f>
        <v>16616.780242000001</v>
      </c>
      <c r="K13" s="26">
        <f>E33+E34</f>
        <v>21398.951752000001</v>
      </c>
      <c r="L13" s="26">
        <f>F33+F34</f>
        <v>11280.550301873</v>
      </c>
      <c r="M13" s="26">
        <f>G33+G34</f>
        <v>19941.219699000001</v>
      </c>
      <c r="N13" s="26">
        <f>C33+C34</f>
        <v>69237.501994873004</v>
      </c>
      <c r="O13" s="31">
        <f>N13/$N$18</f>
        <v>0.14597058457938494</v>
      </c>
      <c r="P13" s="12"/>
    </row>
    <row r="14" spans="2:16" x14ac:dyDescent="0.25">
      <c r="B14" s="20" t="s">
        <v>76</v>
      </c>
      <c r="C14" s="27">
        <f t="shared" si="0"/>
        <v>7158.5218021368</v>
      </c>
      <c r="D14" s="11">
        <f>SUM('[1]2.3'!$D$21:$D$22)</f>
        <v>1826.5909580000002</v>
      </c>
      <c r="E14" s="11">
        <v>1939.210024</v>
      </c>
      <c r="F14" s="11">
        <f>4636.759464*0.2087</f>
        <v>967.69170013679991</v>
      </c>
      <c r="G14" s="30">
        <v>2425.0291200000001</v>
      </c>
      <c r="I14" s="165" t="s">
        <v>80</v>
      </c>
      <c r="J14" s="26">
        <f>D35+D36</f>
        <v>9432.5931530000016</v>
      </c>
      <c r="K14" s="26">
        <f>E35+E36</f>
        <v>15584.322039000001</v>
      </c>
      <c r="L14" s="26">
        <f>F35+F36</f>
        <v>6616.3271929652001</v>
      </c>
      <c r="M14" s="26">
        <f>G35+G36</f>
        <v>11599.816842</v>
      </c>
      <c r="N14" s="26">
        <f>C35+C36</f>
        <v>43233.059226965197</v>
      </c>
      <c r="O14" s="31">
        <f t="shared" ref="O14:O18" si="2">N14/$N$18</f>
        <v>9.1146484877264761E-2</v>
      </c>
      <c r="P14" s="12"/>
    </row>
    <row r="15" spans="2:16" x14ac:dyDescent="0.25">
      <c r="B15" s="23" t="s">
        <v>77</v>
      </c>
      <c r="C15" s="12"/>
      <c r="D15" s="12"/>
      <c r="E15" s="12"/>
      <c r="F15" s="75"/>
      <c r="G15" s="78"/>
      <c r="I15" s="165" t="s">
        <v>82</v>
      </c>
      <c r="J15" s="26">
        <f>D37+D38</f>
        <v>51964.212469999999</v>
      </c>
      <c r="K15" s="26">
        <f>E37+E38</f>
        <v>76310.131071000011</v>
      </c>
      <c r="L15" s="26">
        <f>F37+F38</f>
        <v>36144.194711012693</v>
      </c>
      <c r="M15" s="26">
        <f>G37+G38</f>
        <v>68567.70193499999</v>
      </c>
      <c r="N15" s="26">
        <f>C37+C38</f>
        <v>232986.24018701271</v>
      </c>
      <c r="O15" s="31">
        <f t="shared" si="2"/>
        <v>0.49119533055322512</v>
      </c>
      <c r="P15" s="167">
        <f>O14+O15</f>
        <v>0.58234181543048991</v>
      </c>
    </row>
    <row r="16" spans="2:16" x14ac:dyDescent="0.25">
      <c r="B16" s="23"/>
      <c r="C16" s="12"/>
      <c r="D16" s="12"/>
      <c r="E16" s="12"/>
      <c r="F16" s="12"/>
      <c r="G16" s="78"/>
      <c r="I16" s="165" t="s">
        <v>83</v>
      </c>
      <c r="J16" s="26">
        <f>D39+D40</f>
        <v>27753.449533999999</v>
      </c>
      <c r="K16" s="26">
        <f>E39+E40</f>
        <v>25531.266463</v>
      </c>
      <c r="L16" s="26">
        <f>F39+F40</f>
        <v>17797.024014391998</v>
      </c>
      <c r="M16" s="26">
        <f>G39+G40</f>
        <v>38559.223595000003</v>
      </c>
      <c r="N16" s="26">
        <f>C39+C40</f>
        <v>109640.963606392</v>
      </c>
      <c r="O16" s="31">
        <f t="shared" si="2"/>
        <v>0.23115154490491616</v>
      </c>
      <c r="P16" s="12"/>
    </row>
    <row r="17" spans="2:16" x14ac:dyDescent="0.25">
      <c r="B17" s="21" t="s">
        <v>172</v>
      </c>
      <c r="C17" s="12"/>
      <c r="D17" s="12"/>
      <c r="E17" s="12"/>
      <c r="F17" s="12"/>
      <c r="G17" s="78"/>
      <c r="I17" s="165" t="s">
        <v>85</v>
      </c>
      <c r="J17" s="26">
        <f>D41+D42</f>
        <v>5064.4805840000008</v>
      </c>
      <c r="K17" s="26">
        <f>E41+E42</f>
        <v>3724.8502079999998</v>
      </c>
      <c r="L17" s="26">
        <f>F41+F42</f>
        <v>2714.4915640163999</v>
      </c>
      <c r="M17" s="26">
        <f>G41+G42</f>
        <v>7723.4432120000001</v>
      </c>
      <c r="N17" s="26">
        <f>C41+C42</f>
        <v>19227.265568016399</v>
      </c>
      <c r="O17" s="31">
        <f t="shared" si="2"/>
        <v>4.0536055085208904E-2</v>
      </c>
      <c r="P17" s="167">
        <f>O16+O17</f>
        <v>0.27168759999012504</v>
      </c>
    </row>
    <row r="18" spans="2:16" x14ac:dyDescent="0.25">
      <c r="B18" s="18" t="s">
        <v>61</v>
      </c>
      <c r="C18" s="14" t="s">
        <v>165</v>
      </c>
      <c r="D18" s="14" t="s">
        <v>166</v>
      </c>
      <c r="E18" s="14" t="s">
        <v>167</v>
      </c>
      <c r="F18" s="14" t="s">
        <v>168</v>
      </c>
      <c r="G18" s="19" t="s">
        <v>169</v>
      </c>
      <c r="N18" s="26">
        <f>SUM(N13:N17)</f>
        <v>474325.03058325936</v>
      </c>
      <c r="O18" s="31">
        <f t="shared" si="2"/>
        <v>1</v>
      </c>
    </row>
    <row r="19" spans="2:16" x14ac:dyDescent="0.25">
      <c r="B19" s="22" t="s">
        <v>67</v>
      </c>
      <c r="C19" s="26">
        <f t="shared" ref="C19:C28" si="3">SUM(D19:G19)</f>
        <v>38125.642050110604</v>
      </c>
      <c r="D19" s="26">
        <v>8977.3841759999996</v>
      </c>
      <c r="E19" s="26">
        <v>11698.781686</v>
      </c>
      <c r="F19" s="26">
        <f>30217.051438*0.2087</f>
        <v>6306.2986351105992</v>
      </c>
      <c r="G19" s="28">
        <v>11143.177553</v>
      </c>
    </row>
    <row r="20" spans="2:16" x14ac:dyDescent="0.25">
      <c r="B20" s="20" t="s">
        <v>68</v>
      </c>
      <c r="C20" s="27">
        <f t="shared" si="3"/>
        <v>36352.462427762395</v>
      </c>
      <c r="D20" s="27">
        <v>8733.313204</v>
      </c>
      <c r="E20" s="27">
        <v>10891.44253</v>
      </c>
      <c r="F20" s="27">
        <f>28216.169352*0.2087</f>
        <v>5888.7145437624004</v>
      </c>
      <c r="G20" s="29">
        <v>10838.99215</v>
      </c>
      <c r="I20" s="16" t="s">
        <v>173</v>
      </c>
    </row>
    <row r="21" spans="2:16" ht="28.5" x14ac:dyDescent="0.25">
      <c r="B21" s="22" t="s">
        <v>69</v>
      </c>
      <c r="C21" s="26">
        <f t="shared" si="3"/>
        <v>23615.659939622201</v>
      </c>
      <c r="D21" s="26">
        <v>5304.2475400000003</v>
      </c>
      <c r="E21" s="26">
        <v>7864.1106250000003</v>
      </c>
      <c r="F21" s="26">
        <f>18645.065106*0.2087</f>
        <v>3891.2250876221997</v>
      </c>
      <c r="G21" s="28">
        <v>6556.0766870000007</v>
      </c>
      <c r="I21" s="132" t="s">
        <v>61</v>
      </c>
      <c r="J21" s="132" t="s">
        <v>166</v>
      </c>
      <c r="K21" s="132" t="s">
        <v>167</v>
      </c>
      <c r="L21" s="132" t="s">
        <v>168</v>
      </c>
      <c r="M21" s="132" t="s">
        <v>169</v>
      </c>
      <c r="N21" s="132" t="s">
        <v>165</v>
      </c>
    </row>
    <row r="22" spans="2:16" x14ac:dyDescent="0.25">
      <c r="B22" s="20" t="s">
        <v>70</v>
      </c>
      <c r="C22" s="27">
        <f t="shared" si="3"/>
        <v>22465.714450832398</v>
      </c>
      <c r="D22" s="27">
        <v>4904.7951539999995</v>
      </c>
      <c r="E22" s="27">
        <v>8302.0446620000002</v>
      </c>
      <c r="F22" s="27">
        <f>15699.385452*0.2087</f>
        <v>3276.4617438323999</v>
      </c>
      <c r="G22" s="29">
        <v>5982.4128909999999</v>
      </c>
      <c r="I22" s="10" t="s">
        <v>79</v>
      </c>
      <c r="J22" s="168">
        <f>(J13-J5)/J5</f>
        <v>-0.1345216448614118</v>
      </c>
      <c r="K22" s="168">
        <f t="shared" ref="K22:N22" si="4">(K13-K5)/K5</f>
        <v>-0.1084283565386613</v>
      </c>
      <c r="L22" s="168">
        <f t="shared" si="4"/>
        <v>-0.15910812970026889</v>
      </c>
      <c r="M22" s="168">
        <f t="shared" si="4"/>
        <v>-0.1663192728029485</v>
      </c>
      <c r="N22" s="168">
        <f t="shared" si="4"/>
        <v>-0.1402847684673863</v>
      </c>
    </row>
    <row r="23" spans="2:16" x14ac:dyDescent="0.25">
      <c r="B23" s="22" t="s">
        <v>71</v>
      </c>
      <c r="C23" s="26">
        <f t="shared" si="3"/>
        <v>118603.31728335039</v>
      </c>
      <c r="D23" s="26">
        <v>26852.412462999997</v>
      </c>
      <c r="E23" s="26">
        <v>37331.050738999998</v>
      </c>
      <c r="F23" s="26">
        <f>88390.594592*0.2087</f>
        <v>18447.117091350399</v>
      </c>
      <c r="G23" s="28">
        <v>35972.736989999998</v>
      </c>
      <c r="I23" s="10" t="s">
        <v>80</v>
      </c>
      <c r="J23" s="168">
        <f t="shared" ref="J23:N26" si="5">(J14-J6)/J6</f>
        <v>-0.12868404600731795</v>
      </c>
      <c r="K23" s="168">
        <f t="shared" si="5"/>
        <v>-5.4300178007351721E-2</v>
      </c>
      <c r="L23" s="168">
        <f t="shared" si="5"/>
        <v>-0.10451749732149916</v>
      </c>
      <c r="M23" s="168">
        <f t="shared" si="5"/>
        <v>-0.12427695196322239</v>
      </c>
      <c r="N23" s="168">
        <f t="shared" si="5"/>
        <v>-9.8172287988585849E-2</v>
      </c>
    </row>
    <row r="24" spans="2:16" x14ac:dyDescent="0.25">
      <c r="B24" s="20" t="s">
        <v>72</v>
      </c>
      <c r="C24" s="27">
        <f t="shared" si="3"/>
        <v>123966.0865421037</v>
      </c>
      <c r="D24" s="27">
        <v>28298.441317000004</v>
      </c>
      <c r="E24" s="27">
        <v>38690.876333000007</v>
      </c>
      <c r="F24" s="27">
        <f>93478.295851*0.2087</f>
        <v>19508.920344103699</v>
      </c>
      <c r="G24" s="29">
        <v>37467.848548000002</v>
      </c>
      <c r="I24" s="10" t="s">
        <v>82</v>
      </c>
      <c r="J24" s="168">
        <f t="shared" si="5"/>
        <v>-0.10411623406757119</v>
      </c>
      <c r="K24" s="168">
        <f t="shared" si="5"/>
        <v>-1.6303684120224714E-2</v>
      </c>
      <c r="L24" s="168">
        <f t="shared" si="5"/>
        <v>-8.8116865936316208E-2</v>
      </c>
      <c r="M24" s="168">
        <f t="shared" si="5"/>
        <v>-9.7666384905239129E-2</v>
      </c>
      <c r="N24" s="168">
        <f t="shared" si="5"/>
        <v>-7.2523099457696652E-2</v>
      </c>
    </row>
    <row r="25" spans="2:16" x14ac:dyDescent="0.25">
      <c r="B25" s="22" t="s">
        <v>73</v>
      </c>
      <c r="C25" s="26">
        <f t="shared" si="3"/>
        <v>48236.573734829399</v>
      </c>
      <c r="D25" s="26">
        <v>12567.005679999998</v>
      </c>
      <c r="E25" s="26">
        <v>11333.402453000001</v>
      </c>
      <c r="F25" s="26">
        <f>36491.844762*0.2087</f>
        <v>7615.8480018294003</v>
      </c>
      <c r="G25" s="28">
        <v>16720.317600000002</v>
      </c>
      <c r="I25" s="10" t="s">
        <v>83</v>
      </c>
      <c r="J25" s="168">
        <f t="shared" si="5"/>
        <v>0.18205209071718872</v>
      </c>
      <c r="K25" s="168">
        <f t="shared" si="5"/>
        <v>0.16460423734080087</v>
      </c>
      <c r="L25" s="168">
        <f t="shared" si="5"/>
        <v>0.29691107178501314</v>
      </c>
      <c r="M25" s="168">
        <f t="shared" si="5"/>
        <v>0.28836547709431293</v>
      </c>
      <c r="N25" s="168">
        <f t="shared" si="5"/>
        <v>0.23118559925236148</v>
      </c>
    </row>
    <row r="26" spans="2:16" x14ac:dyDescent="0.25">
      <c r="B26" s="20" t="s">
        <v>74</v>
      </c>
      <c r="C26" s="27">
        <f t="shared" si="3"/>
        <v>54130.573136728897</v>
      </c>
      <c r="D26" s="11">
        <v>14061.856477000001</v>
      </c>
      <c r="E26" s="11">
        <v>13238.264268000001</v>
      </c>
      <c r="F26" s="11">
        <f>41179.671647*0.2087</f>
        <v>8594.1974727288998</v>
      </c>
      <c r="G26" s="30">
        <v>18236.254918999999</v>
      </c>
      <c r="I26" s="10" t="s">
        <v>85</v>
      </c>
      <c r="J26" s="168">
        <f>(J17-J9)/J9</f>
        <v>0.72463610279650137</v>
      </c>
      <c r="K26" s="168">
        <f t="shared" si="5"/>
        <v>0.22940122186892792</v>
      </c>
      <c r="L26" s="168">
        <f t="shared" si="5"/>
        <v>0.73869827623072493</v>
      </c>
      <c r="M26" s="168">
        <f t="shared" si="5"/>
        <v>0.88655905737080121</v>
      </c>
      <c r="N26" s="168">
        <f t="shared" si="5"/>
        <v>0.65445493249341391</v>
      </c>
    </row>
    <row r="27" spans="2:16" x14ac:dyDescent="0.25">
      <c r="B27" s="22" t="s">
        <v>75</v>
      </c>
      <c r="C27" s="26">
        <f t="shared" si="3"/>
        <v>5893.6442023048003</v>
      </c>
      <c r="D27" s="26">
        <v>1485.289583</v>
      </c>
      <c r="E27" s="26">
        <v>1110.8420470000001</v>
      </c>
      <c r="F27" s="26">
        <f>3985.498104*0.2087</f>
        <v>831.7734543048</v>
      </c>
      <c r="G27" s="28">
        <v>2465.739118</v>
      </c>
      <c r="I27" s="15" t="s">
        <v>77</v>
      </c>
    </row>
    <row r="28" spans="2:16" x14ac:dyDescent="0.25">
      <c r="B28" s="20" t="s">
        <v>76</v>
      </c>
      <c r="C28" s="27">
        <f t="shared" si="3"/>
        <v>8325.1114998771991</v>
      </c>
      <c r="D28" s="11">
        <v>2181.0821569999998</v>
      </c>
      <c r="E28" s="11">
        <v>1941.9204159999999</v>
      </c>
      <c r="F28" s="11">
        <f>5492.753756*0.2087</f>
        <v>1146.3377088771999</v>
      </c>
      <c r="G28" s="30">
        <v>3055.7712179999999</v>
      </c>
    </row>
    <row r="29" spans="2:16" x14ac:dyDescent="0.25">
      <c r="B29" s="23" t="s">
        <v>77</v>
      </c>
      <c r="C29" s="12"/>
      <c r="D29" s="12"/>
      <c r="E29" s="12"/>
      <c r="F29" s="12"/>
      <c r="G29" s="78"/>
    </row>
    <row r="30" spans="2:16" x14ac:dyDescent="0.25">
      <c r="B30" s="80"/>
      <c r="C30" s="12"/>
      <c r="D30" s="12"/>
      <c r="E30" s="12"/>
      <c r="F30" s="12"/>
      <c r="G30" s="78"/>
    </row>
    <row r="31" spans="2:16" x14ac:dyDescent="0.25">
      <c r="B31" s="21" t="s">
        <v>174</v>
      </c>
      <c r="C31" s="12"/>
      <c r="D31" s="12"/>
      <c r="E31" s="12"/>
      <c r="F31" s="12"/>
      <c r="G31" s="78"/>
    </row>
    <row r="32" spans="2:16" x14ac:dyDescent="0.25">
      <c r="B32" s="18" t="s">
        <v>61</v>
      </c>
      <c r="C32" s="14" t="s">
        <v>165</v>
      </c>
      <c r="D32" s="14" t="s">
        <v>166</v>
      </c>
      <c r="E32" s="14" t="s">
        <v>167</v>
      </c>
      <c r="F32" s="14" t="s">
        <v>168</v>
      </c>
      <c r="G32" s="19" t="s">
        <v>169</v>
      </c>
    </row>
    <row r="33" spans="2:7" x14ac:dyDescent="0.25">
      <c r="B33" s="22" t="s">
        <v>67</v>
      </c>
      <c r="C33" s="26">
        <f t="shared" ref="C33:C42" si="6">SUM(D33:G33)</f>
        <v>35271.217759633</v>
      </c>
      <c r="D33" s="26">
        <v>8320.3321799999994</v>
      </c>
      <c r="E33" s="26">
        <v>11076.219032000001</v>
      </c>
      <c r="F33" s="26">
        <f>27917.11559*0.2087</f>
        <v>5826.3020236330003</v>
      </c>
      <c r="G33" s="28">
        <v>10048.364524000001</v>
      </c>
    </row>
    <row r="34" spans="2:7" x14ac:dyDescent="0.25">
      <c r="B34" s="20" t="s">
        <v>68</v>
      </c>
      <c r="C34" s="27">
        <f t="shared" si="6"/>
        <v>33966.284235240004</v>
      </c>
      <c r="D34" s="27">
        <v>8296.4480619999995</v>
      </c>
      <c r="E34" s="27">
        <v>10322.73272</v>
      </c>
      <c r="F34" s="27">
        <f>26134.3952*0.2087</f>
        <v>5454.2482782399993</v>
      </c>
      <c r="G34" s="29">
        <v>9892.8551750000006</v>
      </c>
    </row>
    <row r="35" spans="2:7" x14ac:dyDescent="0.25">
      <c r="B35" s="22" t="s">
        <v>69</v>
      </c>
      <c r="C35" s="26">
        <f t="shared" si="6"/>
        <v>22230.448556969597</v>
      </c>
      <c r="D35" s="26">
        <v>4929.7107130000004</v>
      </c>
      <c r="E35" s="26">
        <v>7679.030358</v>
      </c>
      <c r="F35" s="26">
        <f>17327.189008*0.2087</f>
        <v>3616.1843459696001</v>
      </c>
      <c r="G35" s="28">
        <v>6005.5231399999993</v>
      </c>
    </row>
    <row r="36" spans="2:7" x14ac:dyDescent="0.25">
      <c r="B36" s="20" t="s">
        <v>70</v>
      </c>
      <c r="C36" s="27">
        <f t="shared" si="6"/>
        <v>21002.6106699956</v>
      </c>
      <c r="D36" s="27">
        <v>4502.8824400000003</v>
      </c>
      <c r="E36" s="27">
        <v>7905.2916810000006</v>
      </c>
      <c r="F36" s="27">
        <f>14375.384988*0.2087</f>
        <v>3000.1428469955999</v>
      </c>
      <c r="G36" s="29">
        <v>5594.2937019999999</v>
      </c>
    </row>
    <row r="37" spans="2:7" x14ac:dyDescent="0.25">
      <c r="B37" s="22" t="s">
        <v>71</v>
      </c>
      <c r="C37" s="26">
        <f t="shared" si="6"/>
        <v>114857.1156700373</v>
      </c>
      <c r="D37" s="26">
        <v>25477.567352999999</v>
      </c>
      <c r="E37" s="26">
        <v>37543.660396000007</v>
      </c>
      <c r="F37" s="26">
        <f>85367.476579*0.2087</f>
        <v>17816.192362037298</v>
      </c>
      <c r="G37" s="28">
        <v>34019.695559</v>
      </c>
    </row>
    <row r="38" spans="2:7" x14ac:dyDescent="0.25">
      <c r="B38" s="20" t="s">
        <v>72</v>
      </c>
      <c r="C38" s="27">
        <f t="shared" si="6"/>
        <v>118129.1245169754</v>
      </c>
      <c r="D38" s="27">
        <v>26486.645117</v>
      </c>
      <c r="E38" s="27">
        <v>38766.470674999997</v>
      </c>
      <c r="F38" s="27">
        <f>87819.848342*0.2087</f>
        <v>18328.002348975398</v>
      </c>
      <c r="G38" s="29">
        <v>34548.006375999998</v>
      </c>
    </row>
    <row r="39" spans="2:7" x14ac:dyDescent="0.25">
      <c r="B39" s="22" t="s">
        <v>73</v>
      </c>
      <c r="C39" s="26">
        <f t="shared" si="6"/>
        <v>51385.391102476802</v>
      </c>
      <c r="D39" s="26">
        <v>13099.451951999999</v>
      </c>
      <c r="E39" s="26">
        <v>11745.019432000001</v>
      </c>
      <c r="F39" s="26">
        <f>39889.137664*0.2087</f>
        <v>8324.8630304767994</v>
      </c>
      <c r="G39" s="28">
        <v>18216.056688000001</v>
      </c>
    </row>
    <row r="40" spans="2:7" x14ac:dyDescent="0.25">
      <c r="B40" s="20" t="s">
        <v>74</v>
      </c>
      <c r="C40" s="11">
        <f t="shared" si="6"/>
        <v>58255.572503915202</v>
      </c>
      <c r="D40" s="11">
        <v>14653.997582</v>
      </c>
      <c r="E40" s="11">
        <v>13786.247031000001</v>
      </c>
      <c r="F40" s="11">
        <f>45386.492496*0.2087</f>
        <v>9472.1609839151988</v>
      </c>
      <c r="G40" s="30">
        <v>20343.166907000003</v>
      </c>
    </row>
    <row r="41" spans="2:7" x14ac:dyDescent="0.25">
      <c r="B41" s="22" t="s">
        <v>75</v>
      </c>
      <c r="C41" s="26">
        <f t="shared" si="6"/>
        <v>8518.7681256407996</v>
      </c>
      <c r="D41" s="26">
        <v>2182.6276390000003</v>
      </c>
      <c r="E41" s="26">
        <v>1410.919224</v>
      </c>
      <c r="F41" s="26">
        <f>5681.715384*0.2087</f>
        <v>1185.7740006408001</v>
      </c>
      <c r="G41" s="28">
        <v>3739.4472619999997</v>
      </c>
    </row>
    <row r="42" spans="2:7" x14ac:dyDescent="0.25">
      <c r="B42" s="20" t="s">
        <v>76</v>
      </c>
      <c r="C42" s="11">
        <f t="shared" si="6"/>
        <v>10708.497442375599</v>
      </c>
      <c r="D42" s="11">
        <v>2881.8529450000001</v>
      </c>
      <c r="E42" s="11">
        <v>2313.9309840000001</v>
      </c>
      <c r="F42" s="11">
        <f>7324.952388*0.2087</f>
        <v>1528.7175633755999</v>
      </c>
      <c r="G42" s="30">
        <v>3983.99595</v>
      </c>
    </row>
    <row r="43" spans="2:7" x14ac:dyDescent="0.25">
      <c r="B43" s="23" t="s">
        <v>77</v>
      </c>
      <c r="C43" s="12"/>
      <c r="D43" s="12"/>
      <c r="E43" s="12"/>
      <c r="F43" s="12"/>
      <c r="G43" s="78"/>
    </row>
    <row r="44" spans="2:7" x14ac:dyDescent="0.25">
      <c r="B44" s="80"/>
      <c r="C44" s="12"/>
      <c r="D44" s="12"/>
      <c r="E44" s="12"/>
      <c r="F44" s="12"/>
      <c r="G44" s="78"/>
    </row>
    <row r="45" spans="2:7" x14ac:dyDescent="0.25">
      <c r="B45" s="21" t="s">
        <v>175</v>
      </c>
      <c r="C45" s="12"/>
      <c r="D45" s="12"/>
      <c r="E45" s="12"/>
      <c r="F45" s="12"/>
      <c r="G45" s="78"/>
    </row>
    <row r="46" spans="2:7" x14ac:dyDescent="0.25">
      <c r="B46" s="18" t="s">
        <v>61</v>
      </c>
      <c r="C46" s="14" t="s">
        <v>165</v>
      </c>
      <c r="D46" s="14" t="s">
        <v>166</v>
      </c>
      <c r="E46" s="14" t="s">
        <v>167</v>
      </c>
      <c r="F46" s="14" t="s">
        <v>168</v>
      </c>
      <c r="G46" s="19" t="s">
        <v>169</v>
      </c>
    </row>
    <row r="47" spans="2:7" x14ac:dyDescent="0.25">
      <c r="B47" s="22" t="s">
        <v>67</v>
      </c>
      <c r="C47" s="31">
        <f t="shared" ref="C47:C56" si="7">AVERAGE(D47:G47)</f>
        <v>-7.7780872112465094E-2</v>
      </c>
      <c r="D47" s="31">
        <f t="shared" ref="D47:G56" si="8">(D19-D5)/D5</f>
        <v>-8.262862964849732E-2</v>
      </c>
      <c r="E47" s="31">
        <f t="shared" si="8"/>
        <v>-5.145033219899528E-2</v>
      </c>
      <c r="F47" s="31">
        <f t="shared" si="8"/>
        <v>-8.3952631260950983E-2</v>
      </c>
      <c r="G47" s="34">
        <f t="shared" si="8"/>
        <v>-9.3091895341416764E-2</v>
      </c>
    </row>
    <row r="48" spans="2:7" x14ac:dyDescent="0.25">
      <c r="B48" s="20" t="s">
        <v>68</v>
      </c>
      <c r="C48" s="32">
        <f t="shared" si="7"/>
        <v>-7.6335226345213447E-2</v>
      </c>
      <c r="D48" s="32">
        <f t="shared" si="8"/>
        <v>-7.2261072261072187E-2</v>
      </c>
      <c r="E48" s="32">
        <f t="shared" si="8"/>
        <v>-6.6558163440123261E-2</v>
      </c>
      <c r="F48" s="32">
        <f t="shared" si="8"/>
        <v>-9.8307353925599972E-2</v>
      </c>
      <c r="G48" s="33">
        <f t="shared" si="8"/>
        <v>-6.8214315754058355E-2</v>
      </c>
    </row>
    <row r="49" spans="2:7" x14ac:dyDescent="0.25">
      <c r="B49" s="22" t="s">
        <v>69</v>
      </c>
      <c r="C49" s="31">
        <f t="shared" si="7"/>
        <v>-3.8237241197417005E-2</v>
      </c>
      <c r="D49" s="31">
        <f t="shared" si="8"/>
        <v>-6.9155308134450214E-2</v>
      </c>
      <c r="E49" s="31">
        <f t="shared" si="8"/>
        <v>-2.7838951527526915E-2</v>
      </c>
      <c r="F49" s="31">
        <f t="shared" si="8"/>
        <v>1.6625613566624956E-2</v>
      </c>
      <c r="G49" s="34">
        <f t="shared" si="8"/>
        <v>-7.2580318694315846E-2</v>
      </c>
    </row>
    <row r="50" spans="2:7" x14ac:dyDescent="0.25">
      <c r="B50" s="20" t="s">
        <v>70</v>
      </c>
      <c r="C50" s="32">
        <f t="shared" si="7"/>
        <v>-4.1311210740990312E-2</v>
      </c>
      <c r="D50" s="32">
        <f t="shared" si="8"/>
        <v>-4.3409145122691221E-2</v>
      </c>
      <c r="E50" s="32">
        <f t="shared" si="8"/>
        <v>-1.0463765064999821E-2</v>
      </c>
      <c r="F50" s="32">
        <f t="shared" si="8"/>
        <v>-7.9896806591487041E-2</v>
      </c>
      <c r="G50" s="33">
        <f t="shared" si="8"/>
        <v>-3.147512618478316E-2</v>
      </c>
    </row>
    <row r="51" spans="2:7" x14ac:dyDescent="0.25">
      <c r="B51" s="22" t="s">
        <v>71</v>
      </c>
      <c r="C51" s="31">
        <f t="shared" si="7"/>
        <v>-3.186590939448905E-2</v>
      </c>
      <c r="D51" s="31">
        <f t="shared" si="8"/>
        <v>-4.3890253139984674E-2</v>
      </c>
      <c r="E51" s="31">
        <f t="shared" si="8"/>
        <v>-1.9888576907754384E-2</v>
      </c>
      <c r="F51" s="31">
        <f t="shared" si="8"/>
        <v>-3.790907308162992E-2</v>
      </c>
      <c r="G51" s="34">
        <f t="shared" si="8"/>
        <v>-2.5775734448587221E-2</v>
      </c>
    </row>
    <row r="52" spans="2:7" x14ac:dyDescent="0.25">
      <c r="B52" s="20" t="s">
        <v>72</v>
      </c>
      <c r="C52" s="32">
        <f t="shared" si="7"/>
        <v>-4.044599337373387E-2</v>
      </c>
      <c r="D52" s="32">
        <f t="shared" si="8"/>
        <v>-5.4140332527121471E-2</v>
      </c>
      <c r="E52" s="32">
        <f t="shared" si="8"/>
        <v>-2.0144522434215044E-2</v>
      </c>
      <c r="F52" s="32">
        <f t="shared" si="8"/>
        <v>-4.6619335670707265E-2</v>
      </c>
      <c r="G52" s="33">
        <f t="shared" si="8"/>
        <v>-4.0879782862891692E-2</v>
      </c>
    </row>
    <row r="53" spans="2:7" x14ac:dyDescent="0.25">
      <c r="B53" s="22" t="s">
        <v>73</v>
      </c>
      <c r="C53" s="31">
        <f t="shared" si="7"/>
        <v>0.16561706647235366</v>
      </c>
      <c r="D53" s="31">
        <f>(D25-D11)/D11</f>
        <v>0.13947271625233945</v>
      </c>
      <c r="E53" s="31">
        <f t="shared" si="8"/>
        <v>0.14762204868737222</v>
      </c>
      <c r="F53" s="31">
        <f t="shared" si="8"/>
        <v>0.19039101325885008</v>
      </c>
      <c r="G53" s="34">
        <f t="shared" si="8"/>
        <v>0.18498248769085288</v>
      </c>
    </row>
    <row r="54" spans="2:7" x14ac:dyDescent="0.25">
      <c r="B54" s="20" t="s">
        <v>74</v>
      </c>
      <c r="C54" s="32">
        <f t="shared" si="7"/>
        <v>0.13861077370987168</v>
      </c>
      <c r="D54" s="35">
        <f t="shared" si="8"/>
        <v>0.12944364132647954</v>
      </c>
      <c r="E54" s="35">
        <f t="shared" si="8"/>
        <v>9.8871545400067082E-2</v>
      </c>
      <c r="F54" s="35">
        <f t="shared" si="8"/>
        <v>0.17329255194269019</v>
      </c>
      <c r="G54" s="36">
        <f t="shared" si="8"/>
        <v>0.15283535617024996</v>
      </c>
    </row>
    <row r="55" spans="2:7" x14ac:dyDescent="0.25">
      <c r="B55" s="22" t="s">
        <v>75</v>
      </c>
      <c r="C55" s="31">
        <f t="shared" si="7"/>
        <v>0.3088937301558845</v>
      </c>
      <c r="D55" s="31">
        <f t="shared" si="8"/>
        <v>0.33814779487026159</v>
      </c>
      <c r="E55" s="31">
        <f t="shared" si="8"/>
        <v>1.8561940448943902E-2</v>
      </c>
      <c r="F55" s="31">
        <f t="shared" si="8"/>
        <v>0.40140346346107519</v>
      </c>
      <c r="G55" s="34">
        <f t="shared" si="8"/>
        <v>0.47746172184325719</v>
      </c>
    </row>
    <row r="56" spans="2:7" x14ac:dyDescent="0.25">
      <c r="B56" s="20" t="s">
        <v>76</v>
      </c>
      <c r="C56" s="32">
        <f t="shared" si="7"/>
        <v>0.16004435418520474</v>
      </c>
      <c r="D56" s="35">
        <f t="shared" si="8"/>
        <v>0.19407256859967417</v>
      </c>
      <c r="E56" s="35">
        <f t="shared" si="8"/>
        <v>1.3976784187662368E-3</v>
      </c>
      <c r="F56" s="35">
        <f t="shared" si="8"/>
        <v>0.1846104588012332</v>
      </c>
      <c r="G56" s="36">
        <f t="shared" si="8"/>
        <v>0.26009671092114545</v>
      </c>
    </row>
    <row r="57" spans="2:7" x14ac:dyDescent="0.25">
      <c r="B57" s="23" t="s">
        <v>77</v>
      </c>
      <c r="C57" s="12"/>
      <c r="D57" s="12"/>
      <c r="E57" s="12"/>
      <c r="F57" s="12"/>
      <c r="G57" s="78"/>
    </row>
    <row r="58" spans="2:7" x14ac:dyDescent="0.25">
      <c r="B58" s="23"/>
      <c r="C58" s="12"/>
      <c r="D58" s="12"/>
      <c r="E58" s="12"/>
      <c r="F58" s="12"/>
      <c r="G58" s="78"/>
    </row>
    <row r="59" spans="2:7" x14ac:dyDescent="0.25">
      <c r="B59" s="21" t="s">
        <v>176</v>
      </c>
      <c r="C59" s="12"/>
      <c r="D59" s="12"/>
      <c r="E59" s="12"/>
      <c r="F59" s="12"/>
      <c r="G59" s="78"/>
    </row>
    <row r="60" spans="2:7" x14ac:dyDescent="0.25">
      <c r="B60" s="18" t="s">
        <v>61</v>
      </c>
      <c r="C60" s="14" t="s">
        <v>165</v>
      </c>
      <c r="D60" s="14" t="s">
        <v>166</v>
      </c>
      <c r="E60" s="14" t="s">
        <v>167</v>
      </c>
      <c r="F60" s="14" t="s">
        <v>168</v>
      </c>
      <c r="G60" s="19" t="s">
        <v>169</v>
      </c>
    </row>
    <row r="61" spans="2:7" x14ac:dyDescent="0.25">
      <c r="B61" s="22" t="s">
        <v>67</v>
      </c>
      <c r="C61" s="31">
        <f t="shared" ref="C61:G70" si="9">(C33-C5)/C5</f>
        <v>-0.14578030737216904</v>
      </c>
      <c r="D61" s="31">
        <f>(D33-D5)/D5</f>
        <v>-0.14977075904228235</v>
      </c>
      <c r="E61" s="31">
        <f t="shared" ref="E61:G61" si="10">(E33-E5)/E5</f>
        <v>-0.10192837465564732</v>
      </c>
      <c r="F61" s="31">
        <f t="shared" si="10"/>
        <v>-0.15367651501419838</v>
      </c>
      <c r="G61" s="34">
        <f t="shared" si="10"/>
        <v>-0.18219527760051049</v>
      </c>
    </row>
    <row r="62" spans="2:7" x14ac:dyDescent="0.25">
      <c r="B62" s="20" t="s">
        <v>68</v>
      </c>
      <c r="C62" s="32">
        <f t="shared" si="9"/>
        <v>-0.13450275884458085</v>
      </c>
      <c r="D62" s="32">
        <f t="shared" si="9"/>
        <v>-0.11866920957830047</v>
      </c>
      <c r="E62" s="32">
        <f t="shared" si="9"/>
        <v>-0.11529895494260745</v>
      </c>
      <c r="F62" s="32">
        <f t="shared" si="9"/>
        <v>-0.16483376366708111</v>
      </c>
      <c r="G62" s="33">
        <f t="shared" si="9"/>
        <v>-0.1495500042055681</v>
      </c>
    </row>
    <row r="63" spans="2:7" x14ac:dyDescent="0.25">
      <c r="B63" s="22" t="s">
        <v>69</v>
      </c>
      <c r="C63" s="31">
        <f t="shared" si="9"/>
        <v>-9.9412040634988694E-2</v>
      </c>
      <c r="D63" s="31">
        <f t="shared" si="9"/>
        <v>-0.13488293767888804</v>
      </c>
      <c r="E63" s="31">
        <f t="shared" si="9"/>
        <v>-5.0718566909118211E-2</v>
      </c>
      <c r="F63" s="31">
        <f t="shared" si="9"/>
        <v>-5.5231823729364575E-2</v>
      </c>
      <c r="G63" s="34">
        <f t="shared" si="9"/>
        <v>-0.15046137766864251</v>
      </c>
    </row>
    <row r="64" spans="2:7" x14ac:dyDescent="0.25">
      <c r="B64" s="20" t="s">
        <v>70</v>
      </c>
      <c r="C64" s="32">
        <f t="shared" si="9"/>
        <v>-9.6856334038122327E-2</v>
      </c>
      <c r="D64" s="32">
        <f t="shared" si="9"/>
        <v>-0.12179489103050463</v>
      </c>
      <c r="E64" s="32">
        <f t="shared" si="9"/>
        <v>-5.7753495125714503E-2</v>
      </c>
      <c r="F64" s="32">
        <f t="shared" si="9"/>
        <v>-0.15749328695852965</v>
      </c>
      <c r="G64" s="33">
        <f t="shared" si="9"/>
        <v>-9.4309821047954767E-2</v>
      </c>
    </row>
    <row r="65" spans="2:7" x14ac:dyDescent="0.25">
      <c r="B65" s="22" t="s">
        <v>71</v>
      </c>
      <c r="C65" s="31">
        <f t="shared" si="9"/>
        <v>-6.0643534662058532E-2</v>
      </c>
      <c r="D65" s="31">
        <f t="shared" si="9"/>
        <v>-9.2843128860372368E-2</v>
      </c>
      <c r="E65" s="31">
        <f t="shared" si="9"/>
        <v>-1.4306597580616533E-2</v>
      </c>
      <c r="F65" s="31">
        <f t="shared" si="9"/>
        <v>-7.0814320803247108E-2</v>
      </c>
      <c r="G65" s="34">
        <f t="shared" si="9"/>
        <v>-7.8668578110618878E-2</v>
      </c>
    </row>
    <row r="66" spans="2:7" x14ac:dyDescent="0.25">
      <c r="B66" s="20" t="s">
        <v>72</v>
      </c>
      <c r="C66" s="32">
        <f t="shared" si="9"/>
        <v>-8.3789015661810753E-2</v>
      </c>
      <c r="D66" s="32">
        <f t="shared" si="9"/>
        <v>-0.11469861317811754</v>
      </c>
      <c r="E66" s="32">
        <f t="shared" si="9"/>
        <v>-1.8230078071565802E-2</v>
      </c>
      <c r="F66" s="32">
        <f t="shared" si="9"/>
        <v>-0.10432957093004146</v>
      </c>
      <c r="G66" s="33">
        <f t="shared" si="9"/>
        <v>-0.11562332343280299</v>
      </c>
    </row>
    <row r="67" spans="2:7" x14ac:dyDescent="0.25">
      <c r="B67" s="22" t="s">
        <v>73</v>
      </c>
      <c r="C67" s="31">
        <f t="shared" si="9"/>
        <v>0.24082453081992714</v>
      </c>
      <c r="D67" s="31">
        <f t="shared" si="9"/>
        <v>0.18775056503057547</v>
      </c>
      <c r="E67" s="31">
        <f t="shared" si="9"/>
        <v>0.18930244631495724</v>
      </c>
      <c r="F67" s="31">
        <f t="shared" si="9"/>
        <v>0.30121322480569185</v>
      </c>
      <c r="G67" s="34">
        <f t="shared" si="9"/>
        <v>0.29098673161949007</v>
      </c>
    </row>
    <row r="68" spans="2:7" x14ac:dyDescent="0.25">
      <c r="B68" s="20" t="s">
        <v>74</v>
      </c>
      <c r="C68" s="32">
        <f t="shared" si="9"/>
        <v>0.22280686174244441</v>
      </c>
      <c r="D68" s="35">
        <f t="shared" si="9"/>
        <v>0.17700421818944048</v>
      </c>
      <c r="E68" s="35">
        <f t="shared" si="9"/>
        <v>0.14435807244319143</v>
      </c>
      <c r="F68" s="35">
        <f t="shared" si="9"/>
        <v>0.29315342921727872</v>
      </c>
      <c r="G68" s="36">
        <f t="shared" si="9"/>
        <v>0.28602732145555126</v>
      </c>
    </row>
    <row r="69" spans="2:7" x14ac:dyDescent="0.25">
      <c r="B69" s="22" t="s">
        <v>75</v>
      </c>
      <c r="C69" s="31">
        <f t="shared" si="9"/>
        <v>0.90875856373480657</v>
      </c>
      <c r="D69" s="31">
        <f t="shared" si="9"/>
        <v>0.96640331661892209</v>
      </c>
      <c r="E69" s="31">
        <f t="shared" si="9"/>
        <v>0.29371104244324486</v>
      </c>
      <c r="F69" s="31">
        <f t="shared" si="9"/>
        <v>0.99783701052230467</v>
      </c>
      <c r="G69" s="34">
        <f t="shared" si="9"/>
        <v>1.2406629112239169</v>
      </c>
    </row>
    <row r="70" spans="2:7" x14ac:dyDescent="0.25">
      <c r="B70" s="20" t="s">
        <v>76</v>
      </c>
      <c r="C70" s="32">
        <f t="shared" si="9"/>
        <v>0.49590903518365215</v>
      </c>
      <c r="D70" s="35">
        <f t="shared" si="9"/>
        <v>0.57772211253878314</v>
      </c>
      <c r="E70" s="35">
        <f t="shared" si="9"/>
        <v>0.19323381962881195</v>
      </c>
      <c r="F70" s="35">
        <f t="shared" si="9"/>
        <v>0.57975682044135468</v>
      </c>
      <c r="G70" s="36">
        <f t="shared" si="9"/>
        <v>0.64286519990324886</v>
      </c>
    </row>
    <row r="71" spans="2:7" ht="15.75" thickBot="1" x14ac:dyDescent="0.3">
      <c r="B71" s="24" t="s">
        <v>77</v>
      </c>
      <c r="C71" s="81"/>
      <c r="D71" s="81"/>
      <c r="E71" s="81"/>
      <c r="F71" s="81"/>
      <c r="G71" s="82"/>
    </row>
  </sheetData>
  <conditionalFormatting sqref="N22:N26">
    <cfRule type="dataBar" priority="7">
      <dataBar>
        <cfvo type="min"/>
        <cfvo type="max"/>
        <color rgb="FF638EC6"/>
      </dataBar>
      <extLst>
        <ext xmlns:x14="http://schemas.microsoft.com/office/spreadsheetml/2009/9/main" uri="{B025F937-C7B1-47D3-B67F-A62EFF666E3E}">
          <x14:id>{53329DD7-5D2D-457D-9149-423709ADF764}</x14:id>
        </ext>
      </extLst>
    </cfRule>
  </conditionalFormatting>
  <conditionalFormatting sqref="J22:M22">
    <cfRule type="dataBar" priority="5">
      <dataBar>
        <cfvo type="min"/>
        <cfvo type="max"/>
        <color rgb="FF638EC6"/>
      </dataBar>
      <extLst>
        <ext xmlns:x14="http://schemas.microsoft.com/office/spreadsheetml/2009/9/main" uri="{B025F937-C7B1-47D3-B67F-A62EFF666E3E}">
          <x14:id>{8FD2B13A-2BCB-4145-AEBE-102C7A036F55}</x14:id>
        </ext>
      </extLst>
    </cfRule>
  </conditionalFormatting>
  <conditionalFormatting sqref="J23:M23">
    <cfRule type="dataBar" priority="4">
      <dataBar>
        <cfvo type="min"/>
        <cfvo type="max"/>
        <color rgb="FF638EC6"/>
      </dataBar>
      <extLst>
        <ext xmlns:x14="http://schemas.microsoft.com/office/spreadsheetml/2009/9/main" uri="{B025F937-C7B1-47D3-B67F-A62EFF666E3E}">
          <x14:id>{2FFA62E5-676E-401B-9B7B-B584F03518F9}</x14:id>
        </ext>
      </extLst>
    </cfRule>
  </conditionalFormatting>
  <conditionalFormatting sqref="J24:M24">
    <cfRule type="dataBar" priority="3">
      <dataBar>
        <cfvo type="min"/>
        <cfvo type="max"/>
        <color rgb="FF638EC6"/>
      </dataBar>
      <extLst>
        <ext xmlns:x14="http://schemas.microsoft.com/office/spreadsheetml/2009/9/main" uri="{B025F937-C7B1-47D3-B67F-A62EFF666E3E}">
          <x14:id>{940DED4B-921D-4A2E-B15A-B7D6883ADB0A}</x14:id>
        </ext>
      </extLst>
    </cfRule>
  </conditionalFormatting>
  <conditionalFormatting sqref="J25:M25">
    <cfRule type="dataBar" priority="2">
      <dataBar>
        <cfvo type="min"/>
        <cfvo type="max"/>
        <color rgb="FF638EC6"/>
      </dataBar>
      <extLst>
        <ext xmlns:x14="http://schemas.microsoft.com/office/spreadsheetml/2009/9/main" uri="{B025F937-C7B1-47D3-B67F-A62EFF666E3E}">
          <x14:id>{666CCD92-0FB1-488C-AB7C-697E17AD691E}</x14:id>
        </ext>
      </extLst>
    </cfRule>
  </conditionalFormatting>
  <conditionalFormatting sqref="J26:M26">
    <cfRule type="dataBar" priority="1">
      <dataBar>
        <cfvo type="min"/>
        <cfvo type="max"/>
        <color rgb="FF638EC6"/>
      </dataBar>
      <extLst>
        <ext xmlns:x14="http://schemas.microsoft.com/office/spreadsheetml/2009/9/main" uri="{B025F937-C7B1-47D3-B67F-A62EFF666E3E}">
          <x14:id>{0FAA7F87-0B44-42D8-803B-CBE51EBE83BE}</x14:id>
        </ext>
      </extLst>
    </cfRule>
  </conditionalFormatting>
  <pageMargins left="0.7" right="0.7" top="0.75" bottom="0.75" header="0.3" footer="0.3"/>
  <pageSetup paperSize="9"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dataBar" id="{53329DD7-5D2D-457D-9149-423709ADF764}">
            <x14:dataBar minLength="0" maxLength="100" border="1" negativeBarBorderColorSameAsPositive="0">
              <x14:cfvo type="autoMin"/>
              <x14:cfvo type="autoMax"/>
              <x14:borderColor rgb="FF638EC6"/>
              <x14:negativeFillColor rgb="FFFF0000"/>
              <x14:negativeBorderColor rgb="FFFF0000"/>
              <x14:axisColor rgb="FF000000"/>
            </x14:dataBar>
          </x14:cfRule>
          <xm:sqref>N22:N26</xm:sqref>
        </x14:conditionalFormatting>
        <x14:conditionalFormatting xmlns:xm="http://schemas.microsoft.com/office/excel/2006/main">
          <x14:cfRule type="dataBar" id="{8FD2B13A-2BCB-4145-AEBE-102C7A036F55}">
            <x14:dataBar minLength="0" maxLength="100" border="1" negativeBarBorderColorSameAsPositive="0">
              <x14:cfvo type="autoMin"/>
              <x14:cfvo type="autoMax"/>
              <x14:borderColor rgb="FF638EC6"/>
              <x14:negativeFillColor rgb="FFFF0000"/>
              <x14:negativeBorderColor rgb="FFFF0000"/>
              <x14:axisColor rgb="FF000000"/>
            </x14:dataBar>
          </x14:cfRule>
          <xm:sqref>J22:M22</xm:sqref>
        </x14:conditionalFormatting>
        <x14:conditionalFormatting xmlns:xm="http://schemas.microsoft.com/office/excel/2006/main">
          <x14:cfRule type="dataBar" id="{2FFA62E5-676E-401B-9B7B-B584F03518F9}">
            <x14:dataBar minLength="0" maxLength="100" border="1" negativeBarBorderColorSameAsPositive="0">
              <x14:cfvo type="autoMin"/>
              <x14:cfvo type="autoMax"/>
              <x14:borderColor rgb="FF638EC6"/>
              <x14:negativeFillColor rgb="FFFF0000"/>
              <x14:negativeBorderColor rgb="FFFF0000"/>
              <x14:axisColor rgb="FF000000"/>
            </x14:dataBar>
          </x14:cfRule>
          <xm:sqref>J23:M23</xm:sqref>
        </x14:conditionalFormatting>
        <x14:conditionalFormatting xmlns:xm="http://schemas.microsoft.com/office/excel/2006/main">
          <x14:cfRule type="dataBar" id="{940DED4B-921D-4A2E-B15A-B7D6883ADB0A}">
            <x14:dataBar minLength="0" maxLength="100" border="1" negativeBarBorderColorSameAsPositive="0">
              <x14:cfvo type="autoMin"/>
              <x14:cfvo type="autoMax"/>
              <x14:borderColor rgb="FF638EC6"/>
              <x14:negativeFillColor rgb="FFFF0000"/>
              <x14:negativeBorderColor rgb="FFFF0000"/>
              <x14:axisColor rgb="FF000000"/>
            </x14:dataBar>
          </x14:cfRule>
          <xm:sqref>J24:M24</xm:sqref>
        </x14:conditionalFormatting>
        <x14:conditionalFormatting xmlns:xm="http://schemas.microsoft.com/office/excel/2006/main">
          <x14:cfRule type="dataBar" id="{666CCD92-0FB1-488C-AB7C-697E17AD691E}">
            <x14:dataBar minLength="0" maxLength="100" border="1" negativeBarBorderColorSameAsPositive="0">
              <x14:cfvo type="autoMin"/>
              <x14:cfvo type="autoMax"/>
              <x14:borderColor rgb="FF638EC6"/>
              <x14:negativeFillColor rgb="FFFF0000"/>
              <x14:negativeBorderColor rgb="FFFF0000"/>
              <x14:axisColor rgb="FF000000"/>
            </x14:dataBar>
          </x14:cfRule>
          <xm:sqref>J25:M25</xm:sqref>
        </x14:conditionalFormatting>
        <x14:conditionalFormatting xmlns:xm="http://schemas.microsoft.com/office/excel/2006/main">
          <x14:cfRule type="dataBar" id="{0FAA7F87-0B44-42D8-803B-CBE51EBE83BE}">
            <x14:dataBar minLength="0" maxLength="100" border="1" negativeBarBorderColorSameAsPositive="0">
              <x14:cfvo type="autoMin"/>
              <x14:cfvo type="autoMax"/>
              <x14:borderColor rgb="FF638EC6"/>
              <x14:negativeFillColor rgb="FFFF0000"/>
              <x14:negativeBorderColor rgb="FFFF0000"/>
              <x14:axisColor rgb="FF000000"/>
            </x14:dataBar>
          </x14:cfRule>
          <xm:sqref>J26:M26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4313E-183C-4AB6-BC88-349CF1D3E079}">
  <sheetPr>
    <tabColor rgb="FF00B050"/>
  </sheetPr>
  <dimension ref="A1:CU325"/>
  <sheetViews>
    <sheetView showGridLines="0" topLeftCell="A142" zoomScale="85" zoomScaleNormal="85" workbookViewId="0">
      <selection activeCell="E161" sqref="E161"/>
    </sheetView>
  </sheetViews>
  <sheetFormatPr defaultRowHeight="14.25" x14ac:dyDescent="0.2"/>
  <cols>
    <col min="1" max="1" width="4.85546875" style="71" customWidth="1"/>
    <col min="2" max="2" width="29.85546875" style="12" customWidth="1"/>
    <col min="3" max="3" width="15.7109375" style="12" customWidth="1"/>
    <col min="4" max="4" width="20.7109375" style="12" customWidth="1"/>
    <col min="5" max="5" width="24.42578125" style="121" customWidth="1"/>
    <col min="6" max="6" width="23.28515625" style="12" customWidth="1"/>
    <col min="7" max="7" width="16.140625" style="12" customWidth="1"/>
    <col min="8" max="8" width="31.28515625" style="12" bestFit="1" customWidth="1"/>
    <col min="9" max="9" width="29.85546875" style="12" customWidth="1"/>
    <col min="10" max="10" width="29.7109375" style="12" customWidth="1"/>
    <col min="11" max="11" width="18.42578125" style="12" bestFit="1" customWidth="1"/>
    <col min="12" max="12" width="19.7109375" style="12" bestFit="1" customWidth="1"/>
    <col min="13" max="13" width="30.28515625" style="12" customWidth="1"/>
    <col min="14" max="14" width="16.5703125" style="12" customWidth="1"/>
    <col min="15" max="15" width="21.85546875" style="12" customWidth="1"/>
    <col min="16" max="16" width="26.5703125" style="12" customWidth="1"/>
    <col min="17" max="17" width="12.7109375" style="12" customWidth="1"/>
    <col min="18" max="18" width="17.5703125" style="12" customWidth="1"/>
    <col min="19" max="32" width="12.7109375" style="12" customWidth="1"/>
    <col min="33" max="16384" width="9.140625" style="12"/>
  </cols>
  <sheetData>
    <row r="1" spans="1:19" x14ac:dyDescent="0.2">
      <c r="A1" s="140"/>
      <c r="B1" s="600" t="s">
        <v>35</v>
      </c>
      <c r="C1" s="600"/>
      <c r="D1" s="600"/>
      <c r="E1" s="600"/>
      <c r="F1" s="600"/>
      <c r="G1" s="600"/>
      <c r="H1" s="600"/>
    </row>
    <row r="2" spans="1:19" ht="18.75" customHeight="1" x14ac:dyDescent="0.2">
      <c r="B2" s="601" t="s">
        <v>36</v>
      </c>
      <c r="C2" s="601"/>
      <c r="D2" s="601"/>
      <c r="E2" s="601"/>
      <c r="F2" s="601"/>
      <c r="G2" s="601"/>
      <c r="H2" s="601"/>
    </row>
    <row r="3" spans="1:19" ht="15.75" customHeight="1" x14ac:dyDescent="0.2">
      <c r="B3" s="73"/>
    </row>
    <row r="4" spans="1:19" ht="15.75" customHeight="1" x14ac:dyDescent="0.25">
      <c r="B4" s="16" t="s">
        <v>955</v>
      </c>
      <c r="H4" s="79"/>
      <c r="I4" s="79"/>
      <c r="J4" s="79"/>
      <c r="K4" s="79"/>
      <c r="L4" s="79"/>
      <c r="M4" s="79"/>
    </row>
    <row r="5" spans="1:19" x14ac:dyDescent="0.2">
      <c r="A5" s="340"/>
      <c r="B5" s="13" t="s">
        <v>37</v>
      </c>
      <c r="C5" s="13" t="s">
        <v>38</v>
      </c>
      <c r="D5" s="13" t="s">
        <v>41</v>
      </c>
      <c r="E5" s="13" t="s">
        <v>565</v>
      </c>
      <c r="F5" s="13" t="s">
        <v>566</v>
      </c>
      <c r="H5" s="326"/>
      <c r="I5" s="79"/>
      <c r="J5" s="79"/>
      <c r="K5" s="79"/>
      <c r="L5" s="79"/>
      <c r="M5" s="79"/>
    </row>
    <row r="6" spans="1:19" ht="15" customHeight="1" x14ac:dyDescent="0.2">
      <c r="B6" s="10">
        <v>2001</v>
      </c>
      <c r="C6" s="179">
        <v>87000</v>
      </c>
      <c r="D6" s="179">
        <v>5064200</v>
      </c>
      <c r="E6" s="179"/>
      <c r="F6" s="179"/>
      <c r="H6" s="79"/>
      <c r="I6" s="79"/>
      <c r="J6" s="79"/>
      <c r="K6" s="79"/>
      <c r="L6" s="79"/>
      <c r="M6" s="79"/>
      <c r="N6" s="75"/>
      <c r="O6" s="75"/>
      <c r="P6" s="75"/>
      <c r="Q6" s="75"/>
      <c r="R6" s="75"/>
      <c r="S6" s="75"/>
    </row>
    <row r="7" spans="1:19" ht="15" customHeight="1" x14ac:dyDescent="0.2">
      <c r="B7" s="10">
        <v>2002</v>
      </c>
      <c r="C7" s="179">
        <v>87690</v>
      </c>
      <c r="D7" s="179">
        <v>5066000</v>
      </c>
      <c r="E7" s="333">
        <f>(C7-C6)/C6</f>
        <v>7.9310344827586213E-3</v>
      </c>
      <c r="F7" s="333">
        <f>(D7-D6)/D6</f>
        <v>3.5543619920224318E-4</v>
      </c>
      <c r="H7" s="79"/>
      <c r="I7" s="79"/>
      <c r="J7" s="79"/>
      <c r="K7" s="79"/>
      <c r="L7" s="79"/>
      <c r="M7" s="79"/>
      <c r="N7" s="75"/>
      <c r="O7" s="75"/>
      <c r="P7" s="75"/>
      <c r="Q7" s="75"/>
      <c r="R7" s="75"/>
      <c r="S7" s="75"/>
    </row>
    <row r="8" spans="1:19" ht="15.75" customHeight="1" x14ac:dyDescent="0.2">
      <c r="B8" s="10">
        <v>2003</v>
      </c>
      <c r="C8" s="179">
        <v>88830</v>
      </c>
      <c r="D8" s="179">
        <v>5068500</v>
      </c>
      <c r="E8" s="333">
        <f t="shared" ref="E8:E26" si="0">(C8-C7)/C7</f>
        <v>1.3000342114266164E-2</v>
      </c>
      <c r="F8" s="333">
        <f t="shared" ref="F8:F26" si="1">(D8-D7)/D7</f>
        <v>4.9348598499802606E-4</v>
      </c>
      <c r="H8" s="79"/>
      <c r="I8" s="79"/>
      <c r="J8" s="79"/>
      <c r="K8" s="79"/>
      <c r="L8" s="79"/>
      <c r="M8" s="79"/>
      <c r="N8" s="75"/>
      <c r="O8" s="75"/>
      <c r="P8" s="75"/>
      <c r="Q8" s="75"/>
      <c r="R8" s="75"/>
      <c r="S8" s="75"/>
    </row>
    <row r="9" spans="1:19" x14ac:dyDescent="0.2">
      <c r="B9" s="10">
        <v>2004</v>
      </c>
      <c r="C9" s="179">
        <v>89380</v>
      </c>
      <c r="D9" s="179">
        <v>5084300</v>
      </c>
      <c r="E9" s="333">
        <f t="shared" si="0"/>
        <v>6.1916019362827871E-3</v>
      </c>
      <c r="F9" s="333">
        <f t="shared" si="1"/>
        <v>3.1172930847390748E-3</v>
      </c>
      <c r="G9" s="185"/>
      <c r="H9" s="79"/>
      <c r="I9" s="79"/>
      <c r="J9" s="79"/>
      <c r="K9" s="79"/>
      <c r="L9" s="79"/>
      <c r="M9" s="79"/>
      <c r="N9" s="75"/>
      <c r="O9" s="75"/>
      <c r="P9" s="75"/>
      <c r="Q9" s="75"/>
      <c r="R9" s="75"/>
      <c r="S9" s="75"/>
    </row>
    <row r="10" spans="1:19" x14ac:dyDescent="0.2">
      <c r="B10" s="10">
        <v>2005</v>
      </c>
      <c r="C10" s="179">
        <v>90100</v>
      </c>
      <c r="D10" s="179">
        <v>5110200</v>
      </c>
      <c r="E10" s="333">
        <f t="shared" si="0"/>
        <v>8.0554933989706867E-3</v>
      </c>
      <c r="F10" s="333">
        <f t="shared" si="1"/>
        <v>5.0941132505949692E-3</v>
      </c>
      <c r="G10" s="185"/>
      <c r="H10" s="79"/>
      <c r="I10" s="79"/>
      <c r="J10" s="79"/>
      <c r="K10" s="79"/>
      <c r="L10" s="79"/>
      <c r="M10" s="79"/>
    </row>
    <row r="11" spans="1:19" x14ac:dyDescent="0.2">
      <c r="B11" s="10">
        <v>2006</v>
      </c>
      <c r="C11" s="179">
        <v>90780</v>
      </c>
      <c r="D11" s="179">
        <v>5133000</v>
      </c>
      <c r="E11" s="333">
        <f t="shared" si="0"/>
        <v>7.5471698113207548E-3</v>
      </c>
      <c r="F11" s="333">
        <f t="shared" si="1"/>
        <v>4.4616649054831517E-3</v>
      </c>
      <c r="G11" s="185"/>
      <c r="H11" s="79"/>
      <c r="I11" s="79"/>
      <c r="J11" s="79"/>
      <c r="K11" s="79"/>
      <c r="L11" s="79"/>
      <c r="M11" s="79"/>
    </row>
    <row r="12" spans="1:19" x14ac:dyDescent="0.2">
      <c r="B12" s="10">
        <v>2007</v>
      </c>
      <c r="C12" s="179">
        <v>91440</v>
      </c>
      <c r="D12" s="179">
        <v>5170000</v>
      </c>
      <c r="E12" s="333">
        <f t="shared" si="0"/>
        <v>7.2703238598810314E-3</v>
      </c>
      <c r="F12" s="333">
        <f t="shared" si="1"/>
        <v>7.2082602766413402E-3</v>
      </c>
      <c r="G12" s="185"/>
      <c r="H12" s="79"/>
      <c r="I12" s="79"/>
      <c r="J12" s="79"/>
      <c r="K12" s="79"/>
      <c r="L12" s="79"/>
      <c r="M12" s="79"/>
    </row>
    <row r="13" spans="1:19" x14ac:dyDescent="0.2">
      <c r="B13" s="10">
        <v>2008</v>
      </c>
      <c r="C13" s="179">
        <v>92840</v>
      </c>
      <c r="D13" s="179">
        <v>5202900</v>
      </c>
      <c r="E13" s="333">
        <f t="shared" si="0"/>
        <v>1.5310586176727909E-2</v>
      </c>
      <c r="F13" s="333">
        <f t="shared" si="1"/>
        <v>6.3636363636363638E-3</v>
      </c>
      <c r="G13" s="185"/>
      <c r="H13" s="79"/>
      <c r="I13" s="79"/>
      <c r="J13" s="79"/>
      <c r="K13" s="79"/>
      <c r="L13" s="79"/>
      <c r="M13" s="79"/>
    </row>
    <row r="14" spans="1:19" x14ac:dyDescent="0.2">
      <c r="B14" s="10">
        <v>2009</v>
      </c>
      <c r="C14" s="179">
        <v>93160</v>
      </c>
      <c r="D14" s="179">
        <v>5231900</v>
      </c>
      <c r="E14" s="333">
        <f t="shared" si="0"/>
        <v>3.4467901766479965E-3</v>
      </c>
      <c r="F14" s="333">
        <f t="shared" si="1"/>
        <v>5.5738146033942606E-3</v>
      </c>
      <c r="G14" s="185"/>
      <c r="H14" s="79"/>
      <c r="I14" s="79"/>
      <c r="J14" s="79"/>
      <c r="K14" s="79"/>
      <c r="L14" s="79"/>
      <c r="M14" s="79"/>
    </row>
    <row r="15" spans="1:19" x14ac:dyDescent="0.2">
      <c r="B15" s="10">
        <v>2010</v>
      </c>
      <c r="C15" s="179">
        <v>93690</v>
      </c>
      <c r="D15" s="179">
        <v>5262200</v>
      </c>
      <c r="E15" s="333">
        <f t="shared" si="0"/>
        <v>5.6891369686560755E-3</v>
      </c>
      <c r="F15" s="333">
        <f t="shared" si="1"/>
        <v>5.7913950954720083E-3</v>
      </c>
      <c r="G15" s="185"/>
      <c r="H15" s="79"/>
      <c r="I15" s="79"/>
      <c r="J15" s="79"/>
      <c r="K15" s="79"/>
      <c r="L15" s="79"/>
      <c r="M15" s="79"/>
    </row>
    <row r="16" spans="1:19" x14ac:dyDescent="0.2">
      <c r="B16" s="10">
        <v>2011</v>
      </c>
      <c r="C16" s="179">
        <v>93470</v>
      </c>
      <c r="D16" s="179">
        <v>5299900</v>
      </c>
      <c r="E16" s="333">
        <f t="shared" si="0"/>
        <v>-2.3481694951435587E-3</v>
      </c>
      <c r="F16" s="333">
        <f t="shared" si="1"/>
        <v>7.1643039033104025E-3</v>
      </c>
      <c r="G16" s="185"/>
      <c r="H16" s="79"/>
      <c r="I16" s="79"/>
      <c r="J16" s="79"/>
      <c r="K16" s="79"/>
      <c r="L16" s="79"/>
      <c r="M16" s="79"/>
    </row>
    <row r="17" spans="1:9" x14ac:dyDescent="0.2">
      <c r="B17" s="10">
        <v>2012</v>
      </c>
      <c r="C17" s="179">
        <v>92930</v>
      </c>
      <c r="D17" s="179">
        <v>5313600</v>
      </c>
      <c r="E17" s="333">
        <f t="shared" si="0"/>
        <v>-5.7772547341392961E-3</v>
      </c>
      <c r="F17" s="333">
        <f t="shared" si="1"/>
        <v>2.5849544331025113E-3</v>
      </c>
      <c r="G17" s="185"/>
    </row>
    <row r="18" spans="1:9" x14ac:dyDescent="0.2">
      <c r="B18" s="10">
        <v>2013</v>
      </c>
      <c r="C18" s="179">
        <v>94360</v>
      </c>
      <c r="D18" s="179">
        <v>5327700</v>
      </c>
      <c r="E18" s="333">
        <f t="shared" si="0"/>
        <v>1.5387926396212203E-2</v>
      </c>
      <c r="F18" s="333">
        <f t="shared" si="1"/>
        <v>2.6535682023486901E-3</v>
      </c>
      <c r="G18" s="185"/>
    </row>
    <row r="19" spans="1:9" x14ac:dyDescent="0.2">
      <c r="B19" s="10">
        <v>2014</v>
      </c>
      <c r="C19" s="179">
        <v>94770</v>
      </c>
      <c r="D19" s="179">
        <v>5347600</v>
      </c>
      <c r="E19" s="333">
        <f t="shared" si="0"/>
        <v>4.3450614667231878E-3</v>
      </c>
      <c r="F19" s="333">
        <f t="shared" si="1"/>
        <v>3.7351953000356627E-3</v>
      </c>
      <c r="G19" s="185"/>
    </row>
    <row r="20" spans="1:9" x14ac:dyDescent="0.2">
      <c r="B20" s="10">
        <v>2015</v>
      </c>
      <c r="C20" s="179">
        <v>95510</v>
      </c>
      <c r="D20" s="179">
        <v>5373000</v>
      </c>
      <c r="E20" s="333">
        <f t="shared" si="0"/>
        <v>7.8083781787485493E-3</v>
      </c>
      <c r="F20" s="333">
        <f t="shared" si="1"/>
        <v>4.7497943002468394E-3</v>
      </c>
      <c r="G20" s="185"/>
    </row>
    <row r="21" spans="1:9" x14ac:dyDescent="0.2">
      <c r="B21" s="10">
        <v>2016</v>
      </c>
      <c r="C21" s="179">
        <v>96070</v>
      </c>
      <c r="D21" s="179">
        <v>5404700</v>
      </c>
      <c r="E21" s="333">
        <f t="shared" si="0"/>
        <v>5.8632603915820336E-3</v>
      </c>
      <c r="F21" s="333">
        <f t="shared" si="1"/>
        <v>5.8998697189651967E-3</v>
      </c>
      <c r="G21" s="185"/>
    </row>
    <row r="22" spans="1:9" x14ac:dyDescent="0.2">
      <c r="B22" s="10">
        <v>2017</v>
      </c>
      <c r="C22" s="179">
        <v>95780</v>
      </c>
      <c r="D22" s="179">
        <v>5424800</v>
      </c>
      <c r="E22" s="333">
        <f t="shared" si="0"/>
        <v>-3.0186322473196628E-3</v>
      </c>
      <c r="F22" s="333">
        <f t="shared" si="1"/>
        <v>3.7189853275852499E-3</v>
      </c>
      <c r="G22" s="185"/>
    </row>
    <row r="23" spans="1:9" x14ac:dyDescent="0.2">
      <c r="B23" s="10">
        <v>2018</v>
      </c>
      <c r="C23" s="179">
        <v>95520</v>
      </c>
      <c r="D23" s="179">
        <v>5438100</v>
      </c>
      <c r="E23" s="333">
        <f t="shared" si="0"/>
        <v>-2.7145541866778031E-3</v>
      </c>
      <c r="F23" s="333">
        <f t="shared" si="1"/>
        <v>2.4517032886005015E-3</v>
      </c>
      <c r="G23" s="185"/>
    </row>
    <row r="24" spans="1:9" x14ac:dyDescent="0.2">
      <c r="B24" s="10">
        <v>2019</v>
      </c>
      <c r="C24" s="179">
        <v>95820</v>
      </c>
      <c r="D24" s="179">
        <v>5463300</v>
      </c>
      <c r="E24" s="333">
        <f t="shared" si="0"/>
        <v>3.1407035175879399E-3</v>
      </c>
      <c r="F24" s="333">
        <f t="shared" si="1"/>
        <v>4.6339714238428859E-3</v>
      </c>
      <c r="G24" s="185"/>
    </row>
    <row r="25" spans="1:9" x14ac:dyDescent="0.2">
      <c r="B25" s="10">
        <v>2020</v>
      </c>
      <c r="C25" s="179">
        <v>95710</v>
      </c>
      <c r="D25" s="179">
        <v>5466000</v>
      </c>
      <c r="E25" s="333">
        <f t="shared" si="0"/>
        <v>-1.1479858067209351E-3</v>
      </c>
      <c r="F25" s="333">
        <f t="shared" si="1"/>
        <v>4.9420679808906702E-4</v>
      </c>
      <c r="G25" s="185"/>
    </row>
    <row r="26" spans="1:9" x14ac:dyDescent="0.2">
      <c r="B26" s="10">
        <v>2021</v>
      </c>
      <c r="C26" s="389">
        <v>96410</v>
      </c>
      <c r="D26" s="389">
        <v>5479900</v>
      </c>
      <c r="E26" s="333">
        <f t="shared" si="0"/>
        <v>7.3137603176261622E-3</v>
      </c>
      <c r="F26" s="333">
        <f t="shared" si="1"/>
        <v>2.5429930479326747E-3</v>
      </c>
      <c r="G26" s="186"/>
    </row>
    <row r="27" spans="1:9" x14ac:dyDescent="0.2">
      <c r="A27" s="79"/>
      <c r="B27" s="204" t="s">
        <v>39</v>
      </c>
      <c r="C27" s="205">
        <f>(C26-C6)/C6</f>
        <v>0.10816091954022988</v>
      </c>
      <c r="D27" s="205">
        <f>(D26-D6)/D6</f>
        <v>8.2086015560206949E-2</v>
      </c>
      <c r="E27" s="308"/>
      <c r="F27" s="186"/>
      <c r="G27" s="186"/>
      <c r="H27" s="75"/>
      <c r="I27" s="75"/>
    </row>
    <row r="28" spans="1:9" x14ac:dyDescent="0.2">
      <c r="B28" s="73" t="s">
        <v>40</v>
      </c>
      <c r="D28" s="71"/>
      <c r="E28" s="309"/>
      <c r="F28" s="71"/>
      <c r="G28" s="71"/>
    </row>
    <row r="29" spans="1:9" x14ac:dyDescent="0.2">
      <c r="A29" s="79"/>
      <c r="D29" s="71"/>
      <c r="E29" s="309"/>
      <c r="F29" s="71"/>
      <c r="G29" s="71"/>
    </row>
    <row r="30" spans="1:9" ht="15" x14ac:dyDescent="0.25">
      <c r="A30" s="137"/>
      <c r="B30" s="16" t="s">
        <v>954</v>
      </c>
      <c r="D30" s="71"/>
      <c r="E30" s="309"/>
      <c r="F30" s="71"/>
      <c r="G30" s="71"/>
    </row>
    <row r="31" spans="1:9" x14ac:dyDescent="0.2">
      <c r="A31" s="336"/>
      <c r="B31" s="13" t="s">
        <v>37</v>
      </c>
      <c r="C31" s="13" t="s">
        <v>38</v>
      </c>
      <c r="D31" s="13" t="s">
        <v>41</v>
      </c>
      <c r="E31" s="307"/>
      <c r="F31" s="184"/>
      <c r="G31" s="184"/>
    </row>
    <row r="32" spans="1:9" x14ac:dyDescent="0.2">
      <c r="A32" s="136"/>
      <c r="B32" s="10">
        <v>2001</v>
      </c>
      <c r="C32" s="11">
        <f>C6</f>
        <v>87000</v>
      </c>
      <c r="D32" s="11">
        <f>D6</f>
        <v>5064200</v>
      </c>
      <c r="E32" s="185"/>
      <c r="F32" s="185"/>
      <c r="G32" s="185"/>
    </row>
    <row r="33" spans="1:12" x14ac:dyDescent="0.2">
      <c r="A33" s="136"/>
      <c r="B33" s="10">
        <v>2011</v>
      </c>
      <c r="C33" s="11">
        <f>C16</f>
        <v>93470</v>
      </c>
      <c r="D33" s="11">
        <f>D16</f>
        <v>5299900</v>
      </c>
      <c r="E33" s="310"/>
      <c r="F33" s="185"/>
      <c r="G33" s="185"/>
    </row>
    <row r="34" spans="1:12" x14ac:dyDescent="0.2">
      <c r="A34" s="136"/>
      <c r="B34" s="10">
        <v>2021</v>
      </c>
      <c r="C34" s="11">
        <f>C26</f>
        <v>96410</v>
      </c>
      <c r="D34" s="11">
        <f>D26</f>
        <v>5479900</v>
      </c>
      <c r="E34" s="310"/>
      <c r="F34" s="185"/>
      <c r="G34" s="185"/>
    </row>
    <row r="35" spans="1:12" x14ac:dyDescent="0.2">
      <c r="A35" s="136"/>
      <c r="B35" s="8" t="s">
        <v>42</v>
      </c>
      <c r="C35" s="9">
        <f>C27</f>
        <v>0.10816091954022988</v>
      </c>
      <c r="D35" s="9">
        <f>D27</f>
        <v>8.2086015560206949E-2</v>
      </c>
      <c r="E35" s="311"/>
      <c r="F35" s="187"/>
      <c r="G35" s="187"/>
    </row>
    <row r="36" spans="1:12" x14ac:dyDescent="0.2">
      <c r="A36" s="75"/>
      <c r="B36" s="8" t="s">
        <v>43</v>
      </c>
      <c r="C36" s="9">
        <f>(C26-C16)/C16</f>
        <v>3.1453942441425055E-2</v>
      </c>
      <c r="D36" s="9">
        <f>(D26-D16)/D16</f>
        <v>3.3962904960470955E-2</v>
      </c>
      <c r="E36" s="311"/>
      <c r="F36" s="187"/>
      <c r="G36" s="187"/>
    </row>
    <row r="37" spans="1:12" x14ac:dyDescent="0.2">
      <c r="A37" s="75"/>
      <c r="B37" s="73" t="s">
        <v>40</v>
      </c>
    </row>
    <row r="39" spans="1:12" ht="15" x14ac:dyDescent="0.25">
      <c r="A39" s="12"/>
      <c r="B39" s="16" t="s">
        <v>691</v>
      </c>
    </row>
    <row r="40" spans="1:12" x14ac:dyDescent="0.2">
      <c r="B40" s="15" t="s">
        <v>44</v>
      </c>
    </row>
    <row r="41" spans="1:12" ht="15.75" customHeight="1" x14ac:dyDescent="0.2">
      <c r="B41" s="12" t="s">
        <v>45</v>
      </c>
      <c r="C41" s="25"/>
    </row>
    <row r="42" spans="1:12" ht="34.5" customHeight="1" x14ac:dyDescent="0.2">
      <c r="A42" s="340"/>
      <c r="B42" s="13" t="s">
        <v>46</v>
      </c>
      <c r="C42" s="302" t="s">
        <v>47</v>
      </c>
      <c r="D42" s="302" t="s">
        <v>48</v>
      </c>
      <c r="E42" s="302" t="s">
        <v>49</v>
      </c>
      <c r="F42" s="302" t="s">
        <v>50</v>
      </c>
      <c r="G42" s="302" t="s">
        <v>51</v>
      </c>
      <c r="H42" s="302" t="s">
        <v>52</v>
      </c>
      <c r="I42" s="302" t="s">
        <v>53</v>
      </c>
      <c r="J42" s="302" t="s">
        <v>54</v>
      </c>
      <c r="K42" s="302" t="s">
        <v>55</v>
      </c>
      <c r="L42" s="302" t="s">
        <v>56</v>
      </c>
    </row>
    <row r="43" spans="1:12" x14ac:dyDescent="0.2">
      <c r="B43" s="14" t="s">
        <v>57</v>
      </c>
      <c r="C43" s="14" t="s">
        <v>41</v>
      </c>
      <c r="D43" s="323">
        <v>5466000</v>
      </c>
      <c r="E43" s="324">
        <v>46734</v>
      </c>
      <c r="F43" s="323">
        <v>61280</v>
      </c>
      <c r="G43" s="323">
        <v>-14546</v>
      </c>
      <c r="H43" s="323">
        <v>27800</v>
      </c>
      <c r="I43" s="323">
        <v>646</v>
      </c>
      <c r="J43" s="323">
        <v>5479900</v>
      </c>
      <c r="K43" s="323">
        <f>J43-D43</f>
        <v>13900</v>
      </c>
      <c r="L43" s="325">
        <f>K43/J43</f>
        <v>2.5365426376393729E-3</v>
      </c>
    </row>
    <row r="44" spans="1:12" x14ac:dyDescent="0.2">
      <c r="B44" s="13"/>
      <c r="C44" s="13" t="s">
        <v>38</v>
      </c>
      <c r="D44" s="323">
        <v>95710</v>
      </c>
      <c r="E44" s="324">
        <v>787</v>
      </c>
      <c r="F44" s="323">
        <v>1014</v>
      </c>
      <c r="G44" s="323">
        <v>-227</v>
      </c>
      <c r="H44" s="323">
        <v>700</v>
      </c>
      <c r="I44" s="323">
        <v>227</v>
      </c>
      <c r="J44" s="323">
        <v>96410</v>
      </c>
      <c r="K44" s="323">
        <f>J44-D44</f>
        <v>700</v>
      </c>
      <c r="L44" s="325">
        <f>K44/J44</f>
        <v>7.2606576081319365E-3</v>
      </c>
    </row>
    <row r="45" spans="1:12" x14ac:dyDescent="0.2">
      <c r="B45" s="604" t="s">
        <v>40</v>
      </c>
      <c r="C45" s="604"/>
      <c r="D45" s="604"/>
      <c r="E45" s="604"/>
      <c r="F45" s="604"/>
      <c r="G45" s="604"/>
      <c r="H45" s="604"/>
      <c r="I45" s="604"/>
      <c r="J45" s="357"/>
      <c r="K45" s="357"/>
      <c r="L45" s="357"/>
    </row>
    <row r="46" spans="1:12" x14ac:dyDescent="0.2">
      <c r="B46" s="15" t="s">
        <v>58</v>
      </c>
    </row>
    <row r="47" spans="1:12" ht="16.5" x14ac:dyDescent="0.2">
      <c r="A47" s="340"/>
      <c r="B47" s="14" t="s">
        <v>46</v>
      </c>
      <c r="C47" s="14" t="s">
        <v>47</v>
      </c>
      <c r="D47" s="14" t="s">
        <v>59</v>
      </c>
      <c r="E47" s="312" t="s">
        <v>49</v>
      </c>
      <c r="F47" s="14" t="s">
        <v>50</v>
      </c>
      <c r="G47" s="14" t="s">
        <v>51</v>
      </c>
      <c r="H47" s="14" t="s">
        <v>52</v>
      </c>
      <c r="I47" s="14" t="s">
        <v>53</v>
      </c>
      <c r="J47" s="14" t="s">
        <v>54</v>
      </c>
      <c r="K47" s="14" t="s">
        <v>55</v>
      </c>
      <c r="L47" s="14" t="s">
        <v>56</v>
      </c>
    </row>
    <row r="48" spans="1:12" x14ac:dyDescent="0.2">
      <c r="B48" s="14" t="s">
        <v>57</v>
      </c>
      <c r="C48" s="14" t="s">
        <v>41</v>
      </c>
      <c r="D48" s="323">
        <v>5299900</v>
      </c>
      <c r="E48" s="324">
        <v>534194</v>
      </c>
      <c r="F48" s="323">
        <v>574462</v>
      </c>
      <c r="G48" s="323">
        <v>-40268</v>
      </c>
      <c r="H48" s="323">
        <v>219600</v>
      </c>
      <c r="I48" s="323">
        <v>-56</v>
      </c>
      <c r="J48" s="231">
        <v>5479900</v>
      </c>
      <c r="K48" s="323">
        <v>180000</v>
      </c>
      <c r="L48" s="325">
        <f>K48/J48</f>
        <v>3.2847314732020655E-2</v>
      </c>
    </row>
    <row r="49" spans="1:12" x14ac:dyDescent="0.2">
      <c r="B49" s="14"/>
      <c r="C49" s="14" t="s">
        <v>38</v>
      </c>
      <c r="D49" s="323">
        <v>93470</v>
      </c>
      <c r="E49" s="324">
        <v>8842</v>
      </c>
      <c r="F49" s="323">
        <v>10076</v>
      </c>
      <c r="G49" s="323">
        <v>-1234</v>
      </c>
      <c r="H49" s="323">
        <v>3420</v>
      </c>
      <c r="I49" s="323">
        <v>22</v>
      </c>
      <c r="J49" s="231">
        <v>96410</v>
      </c>
      <c r="K49" s="323">
        <v>2940</v>
      </c>
      <c r="L49" s="325">
        <f>K49/J49</f>
        <v>3.0494761954154133E-2</v>
      </c>
    </row>
    <row r="50" spans="1:12" x14ac:dyDescent="0.2">
      <c r="B50" s="73" t="s">
        <v>40</v>
      </c>
    </row>
    <row r="51" spans="1:12" x14ac:dyDescent="0.2">
      <c r="B51" s="15"/>
    </row>
    <row r="52" spans="1:12" ht="15" x14ac:dyDescent="0.25">
      <c r="B52" s="16" t="s">
        <v>692</v>
      </c>
      <c r="H52" s="16" t="s">
        <v>693</v>
      </c>
    </row>
    <row r="53" spans="1:12" x14ac:dyDescent="0.2">
      <c r="A53" s="340"/>
      <c r="B53" s="13" t="s">
        <v>37</v>
      </c>
      <c r="C53" s="13" t="s">
        <v>567</v>
      </c>
      <c r="D53" s="13" t="s">
        <v>568</v>
      </c>
      <c r="E53" s="13" t="s">
        <v>565</v>
      </c>
      <c r="F53" s="13" t="s">
        <v>566</v>
      </c>
      <c r="G53" s="337"/>
      <c r="H53" s="13" t="s">
        <v>37</v>
      </c>
      <c r="I53" s="13" t="s">
        <v>569</v>
      </c>
      <c r="J53" s="13" t="s">
        <v>570</v>
      </c>
      <c r="K53" s="13" t="s">
        <v>565</v>
      </c>
      <c r="L53" s="13" t="s">
        <v>566</v>
      </c>
    </row>
    <row r="54" spans="1:12" x14ac:dyDescent="0.2">
      <c r="B54" s="10">
        <v>1996</v>
      </c>
      <c r="C54" s="179">
        <v>1021</v>
      </c>
      <c r="D54" s="179">
        <v>59296</v>
      </c>
      <c r="E54" s="179"/>
      <c r="F54" s="179"/>
      <c r="G54" s="121"/>
      <c r="H54" s="10">
        <v>1996</v>
      </c>
      <c r="I54" s="179">
        <v>906</v>
      </c>
      <c r="J54" s="179">
        <v>60654</v>
      </c>
      <c r="K54" s="179"/>
      <c r="L54" s="179"/>
    </row>
    <row r="55" spans="1:12" x14ac:dyDescent="0.2">
      <c r="B55" s="10">
        <v>1997</v>
      </c>
      <c r="C55" s="179">
        <v>1084</v>
      </c>
      <c r="D55" s="179">
        <v>59440</v>
      </c>
      <c r="E55" s="333">
        <f>(C55-C54)/C54</f>
        <v>6.1704211557296766E-2</v>
      </c>
      <c r="F55" s="333">
        <f>(D55-D54)/D54</f>
        <v>2.4284943335132216E-3</v>
      </c>
      <c r="G55" s="121"/>
      <c r="H55" s="10">
        <v>1997</v>
      </c>
      <c r="I55" s="179">
        <v>880</v>
      </c>
      <c r="J55" s="179">
        <v>59494</v>
      </c>
      <c r="K55" s="333">
        <f>(I55-I54)/I54</f>
        <v>-2.8697571743929361E-2</v>
      </c>
      <c r="L55" s="333">
        <f>(J55-J54)/J54</f>
        <v>-1.9124872226069178E-2</v>
      </c>
    </row>
    <row r="56" spans="1:12" x14ac:dyDescent="0.2">
      <c r="B56" s="10">
        <v>1998</v>
      </c>
      <c r="C56" s="179">
        <v>1034</v>
      </c>
      <c r="D56" s="179">
        <v>57319</v>
      </c>
      <c r="E56" s="333">
        <f t="shared" ref="E56:E79" si="2">(C56-C55)/C55</f>
        <v>-4.6125461254612546E-2</v>
      </c>
      <c r="F56" s="333">
        <f t="shared" ref="F56:F79" si="3">(D56-D55)/D55</f>
        <v>-3.5683041722745626E-2</v>
      </c>
      <c r="G56" s="121"/>
      <c r="H56" s="10">
        <v>1998</v>
      </c>
      <c r="I56" s="179">
        <v>910</v>
      </c>
      <c r="J56" s="179">
        <v>59164</v>
      </c>
      <c r="K56" s="333">
        <f t="shared" ref="K56:K79" si="4">(I56-I55)/I55</f>
        <v>3.4090909090909088E-2</v>
      </c>
      <c r="L56" s="333">
        <f t="shared" ref="L56:L79" si="5">(J56-J55)/J55</f>
        <v>-5.546777826335429E-3</v>
      </c>
    </row>
    <row r="57" spans="1:12" x14ac:dyDescent="0.2">
      <c r="B57" s="10">
        <v>1999</v>
      </c>
      <c r="C57" s="179">
        <v>973</v>
      </c>
      <c r="D57" s="179">
        <v>55147</v>
      </c>
      <c r="E57" s="333">
        <f t="shared" si="2"/>
        <v>-5.8994197292069631E-2</v>
      </c>
      <c r="F57" s="333">
        <f t="shared" si="3"/>
        <v>-3.7893194228789756E-2</v>
      </c>
      <c r="G57" s="121"/>
      <c r="H57" s="10">
        <v>1999</v>
      </c>
      <c r="I57" s="179">
        <v>969</v>
      </c>
      <c r="J57" s="179">
        <v>60281</v>
      </c>
      <c r="K57" s="333">
        <f t="shared" si="4"/>
        <v>6.4835164835164841E-2</v>
      </c>
      <c r="L57" s="333">
        <f t="shared" si="5"/>
        <v>1.8879724156581706E-2</v>
      </c>
    </row>
    <row r="58" spans="1:12" x14ac:dyDescent="0.2">
      <c r="B58" s="10">
        <v>2000</v>
      </c>
      <c r="C58" s="179">
        <v>912</v>
      </c>
      <c r="D58" s="179">
        <v>53076</v>
      </c>
      <c r="E58" s="333">
        <f t="shared" si="2"/>
        <v>-6.2692702980472761E-2</v>
      </c>
      <c r="F58" s="333">
        <f t="shared" si="3"/>
        <v>-3.7554173391118287E-2</v>
      </c>
      <c r="G58" s="121"/>
      <c r="H58" s="10">
        <v>2000</v>
      </c>
      <c r="I58" s="179">
        <v>956</v>
      </c>
      <c r="J58" s="179">
        <v>57799</v>
      </c>
      <c r="K58" s="333">
        <f t="shared" si="4"/>
        <v>-1.3415892672858616E-2</v>
      </c>
      <c r="L58" s="333">
        <f t="shared" si="5"/>
        <v>-4.1173835868681674E-2</v>
      </c>
    </row>
    <row r="59" spans="1:12" x14ac:dyDescent="0.2">
      <c r="B59" s="10">
        <v>2001</v>
      </c>
      <c r="C59" s="179">
        <v>869</v>
      </c>
      <c r="D59" s="179">
        <v>52527</v>
      </c>
      <c r="E59" s="333">
        <f t="shared" si="2"/>
        <v>-4.7149122807017545E-2</v>
      </c>
      <c r="F59" s="333">
        <f t="shared" si="3"/>
        <v>-1.0343658150576533E-2</v>
      </c>
      <c r="G59" s="121"/>
      <c r="H59" s="10">
        <v>2001</v>
      </c>
      <c r="I59" s="179">
        <v>936</v>
      </c>
      <c r="J59" s="179">
        <v>57382</v>
      </c>
      <c r="K59" s="333">
        <f t="shared" si="4"/>
        <v>-2.0920502092050208E-2</v>
      </c>
      <c r="L59" s="333">
        <f t="shared" si="5"/>
        <v>-7.2146576930396718E-3</v>
      </c>
    </row>
    <row r="60" spans="1:12" x14ac:dyDescent="0.2">
      <c r="B60" s="10">
        <v>2002</v>
      </c>
      <c r="C60" s="179">
        <v>876</v>
      </c>
      <c r="D60" s="179">
        <v>51270</v>
      </c>
      <c r="E60" s="333">
        <f t="shared" si="2"/>
        <v>8.0552359033371698E-3</v>
      </c>
      <c r="F60" s="333">
        <f t="shared" si="3"/>
        <v>-2.3930550002855676E-2</v>
      </c>
      <c r="G60" s="121"/>
      <c r="H60" s="10">
        <v>2002</v>
      </c>
      <c r="I60" s="179">
        <v>971</v>
      </c>
      <c r="J60" s="179">
        <v>58103</v>
      </c>
      <c r="K60" s="333">
        <f t="shared" si="4"/>
        <v>3.7393162393162392E-2</v>
      </c>
      <c r="L60" s="333">
        <f t="shared" si="5"/>
        <v>1.2564915827262905E-2</v>
      </c>
    </row>
    <row r="61" spans="1:12" x14ac:dyDescent="0.2">
      <c r="B61" s="10">
        <v>2003</v>
      </c>
      <c r="C61" s="179">
        <v>824</v>
      </c>
      <c r="D61" s="179">
        <v>52432</v>
      </c>
      <c r="E61" s="333">
        <f t="shared" si="2"/>
        <v>-5.9360730593607303E-2</v>
      </c>
      <c r="F61" s="333">
        <f t="shared" si="3"/>
        <v>2.266432611663741E-2</v>
      </c>
      <c r="G61" s="121"/>
      <c r="H61" s="10">
        <v>2003</v>
      </c>
      <c r="I61" s="179">
        <v>956</v>
      </c>
      <c r="J61" s="179">
        <v>58472</v>
      </c>
      <c r="K61" s="333">
        <f t="shared" si="4"/>
        <v>-1.5447991761071062E-2</v>
      </c>
      <c r="L61" s="333">
        <f t="shared" si="5"/>
        <v>6.3507908369619471E-3</v>
      </c>
    </row>
    <row r="62" spans="1:12" x14ac:dyDescent="0.2">
      <c r="B62" s="10">
        <v>2004</v>
      </c>
      <c r="C62" s="179">
        <v>854</v>
      </c>
      <c r="D62" s="179">
        <v>53957</v>
      </c>
      <c r="E62" s="333">
        <f t="shared" si="2"/>
        <v>3.640776699029126E-2</v>
      </c>
      <c r="F62" s="333">
        <f t="shared" si="3"/>
        <v>2.9085291425083919E-2</v>
      </c>
      <c r="G62" s="121"/>
      <c r="H62" s="10">
        <v>2004</v>
      </c>
      <c r="I62" s="179">
        <v>916</v>
      </c>
      <c r="J62" s="179">
        <v>56187</v>
      </c>
      <c r="K62" s="333">
        <f t="shared" si="4"/>
        <v>-4.1841004184100417E-2</v>
      </c>
      <c r="L62" s="333">
        <f t="shared" si="5"/>
        <v>-3.9078533315090987E-2</v>
      </c>
    </row>
    <row r="63" spans="1:12" x14ac:dyDescent="0.2">
      <c r="B63" s="10">
        <v>2005</v>
      </c>
      <c r="C63" s="179">
        <v>878</v>
      </c>
      <c r="D63" s="179">
        <v>54386</v>
      </c>
      <c r="E63" s="333">
        <f t="shared" si="2"/>
        <v>2.8103044496487119E-2</v>
      </c>
      <c r="F63" s="333">
        <f t="shared" si="3"/>
        <v>7.9507756176214386E-3</v>
      </c>
      <c r="G63" s="121"/>
      <c r="H63" s="10">
        <v>2005</v>
      </c>
      <c r="I63" s="179">
        <v>943</v>
      </c>
      <c r="J63" s="179">
        <v>55747</v>
      </c>
      <c r="K63" s="333">
        <f t="shared" si="4"/>
        <v>2.9475982532751091E-2</v>
      </c>
      <c r="L63" s="333">
        <f t="shared" si="5"/>
        <v>-7.830992934308648E-3</v>
      </c>
    </row>
    <row r="64" spans="1:12" x14ac:dyDescent="0.2">
      <c r="B64" s="10">
        <v>2006</v>
      </c>
      <c r="C64" s="179">
        <v>899</v>
      </c>
      <c r="D64" s="179">
        <v>55690</v>
      </c>
      <c r="E64" s="333">
        <f t="shared" si="2"/>
        <v>2.3917995444191344E-2</v>
      </c>
      <c r="F64" s="333">
        <f t="shared" si="3"/>
        <v>2.3976758724671792E-2</v>
      </c>
      <c r="G64" s="121"/>
      <c r="H64" s="10">
        <v>2006</v>
      </c>
      <c r="I64" s="179">
        <v>965</v>
      </c>
      <c r="J64" s="179">
        <v>55093</v>
      </c>
      <c r="K64" s="333">
        <f t="shared" si="4"/>
        <v>2.3329798515376459E-2</v>
      </c>
      <c r="L64" s="333">
        <f t="shared" si="5"/>
        <v>-1.1731572999443916E-2</v>
      </c>
    </row>
    <row r="65" spans="1:12" x14ac:dyDescent="0.2">
      <c r="B65" s="10">
        <v>2007</v>
      </c>
      <c r="C65" s="179">
        <v>1001</v>
      </c>
      <c r="D65" s="179">
        <v>57781</v>
      </c>
      <c r="E65" s="333">
        <f t="shared" si="2"/>
        <v>0.11345939933259176</v>
      </c>
      <c r="F65" s="333">
        <f t="shared" si="3"/>
        <v>3.7547135931046867E-2</v>
      </c>
      <c r="G65" s="121"/>
      <c r="H65" s="10">
        <v>2007</v>
      </c>
      <c r="I65" s="179">
        <v>947</v>
      </c>
      <c r="J65" s="179">
        <v>55986</v>
      </c>
      <c r="K65" s="333">
        <f t="shared" si="4"/>
        <v>-1.8652849740932641E-2</v>
      </c>
      <c r="L65" s="333">
        <f t="shared" si="5"/>
        <v>1.6208955765705264E-2</v>
      </c>
    </row>
    <row r="66" spans="1:12" x14ac:dyDescent="0.2">
      <c r="B66" s="10">
        <v>2008</v>
      </c>
      <c r="C66" s="179">
        <v>956</v>
      </c>
      <c r="D66" s="179">
        <v>60041</v>
      </c>
      <c r="E66" s="333">
        <f t="shared" si="2"/>
        <v>-4.4955044955044952E-2</v>
      </c>
      <c r="F66" s="333">
        <f t="shared" si="3"/>
        <v>3.9113203302123534E-2</v>
      </c>
      <c r="G66" s="121"/>
      <c r="H66" s="10">
        <v>2008</v>
      </c>
      <c r="I66" s="179">
        <v>925</v>
      </c>
      <c r="J66" s="179">
        <v>55700</v>
      </c>
      <c r="K66" s="333">
        <f t="shared" si="4"/>
        <v>-2.3231256599788808E-2</v>
      </c>
      <c r="L66" s="333">
        <f t="shared" si="5"/>
        <v>-5.1084199621333906E-3</v>
      </c>
    </row>
    <row r="67" spans="1:12" x14ac:dyDescent="0.2">
      <c r="B67" s="10">
        <v>2009</v>
      </c>
      <c r="C67" s="179">
        <v>966</v>
      </c>
      <c r="D67" s="179">
        <v>59046</v>
      </c>
      <c r="E67" s="333">
        <f t="shared" si="2"/>
        <v>1.0460251046025104E-2</v>
      </c>
      <c r="F67" s="333">
        <f t="shared" si="3"/>
        <v>-1.6572009127096485E-2</v>
      </c>
      <c r="G67" s="121"/>
      <c r="H67" s="10">
        <v>2009</v>
      </c>
      <c r="I67" s="179">
        <v>897</v>
      </c>
      <c r="J67" s="179">
        <v>53856</v>
      </c>
      <c r="K67" s="333">
        <f t="shared" si="4"/>
        <v>-3.027027027027027E-2</v>
      </c>
      <c r="L67" s="333">
        <f t="shared" si="5"/>
        <v>-3.3105924596050267E-2</v>
      </c>
    </row>
    <row r="68" spans="1:12" x14ac:dyDescent="0.2">
      <c r="B68" s="10">
        <v>2010</v>
      </c>
      <c r="C68" s="179">
        <v>928</v>
      </c>
      <c r="D68" s="179">
        <v>58791</v>
      </c>
      <c r="E68" s="333">
        <f t="shared" si="2"/>
        <v>-3.9337474120082816E-2</v>
      </c>
      <c r="F68" s="333">
        <f t="shared" si="3"/>
        <v>-4.3186668021542524E-3</v>
      </c>
      <c r="G68" s="121"/>
      <c r="H68" s="10">
        <v>2010</v>
      </c>
      <c r="I68" s="179">
        <v>932</v>
      </c>
      <c r="J68" s="179">
        <v>53967</v>
      </c>
      <c r="K68" s="333">
        <f t="shared" si="4"/>
        <v>3.901895206243032E-2</v>
      </c>
      <c r="L68" s="333">
        <f t="shared" si="5"/>
        <v>2.0610516934046344E-3</v>
      </c>
    </row>
    <row r="69" spans="1:12" x14ac:dyDescent="0.2">
      <c r="B69" s="10">
        <v>2011</v>
      </c>
      <c r="C69" s="179">
        <v>973</v>
      </c>
      <c r="D69" s="179">
        <v>58590</v>
      </c>
      <c r="E69" s="333">
        <f t="shared" si="2"/>
        <v>4.8491379310344827E-2</v>
      </c>
      <c r="F69" s="333">
        <f t="shared" si="3"/>
        <v>-3.4188906465275298E-3</v>
      </c>
      <c r="G69" s="121"/>
      <c r="H69" s="10">
        <v>2011</v>
      </c>
      <c r="I69" s="179">
        <v>983</v>
      </c>
      <c r="J69" s="179">
        <v>53661</v>
      </c>
      <c r="K69" s="333">
        <f t="shared" si="4"/>
        <v>5.4721030042918457E-2</v>
      </c>
      <c r="L69" s="333">
        <f t="shared" si="5"/>
        <v>-5.6701317471788311E-3</v>
      </c>
    </row>
    <row r="70" spans="1:12" x14ac:dyDescent="0.2">
      <c r="B70" s="10">
        <v>2012</v>
      </c>
      <c r="C70" s="179">
        <v>915</v>
      </c>
      <c r="D70" s="179">
        <v>58027</v>
      </c>
      <c r="E70" s="333">
        <f t="shared" si="2"/>
        <v>-5.9609455292908529E-2</v>
      </c>
      <c r="F70" s="333">
        <f t="shared" si="3"/>
        <v>-9.609148318825738E-3</v>
      </c>
      <c r="G70" s="121"/>
      <c r="H70" s="10">
        <v>2012</v>
      </c>
      <c r="I70" s="179">
        <v>995</v>
      </c>
      <c r="J70" s="179">
        <v>54937</v>
      </c>
      <c r="K70" s="333">
        <f t="shared" si="4"/>
        <v>1.2207527975584944E-2</v>
      </c>
      <c r="L70" s="333">
        <f t="shared" si="5"/>
        <v>2.3778908331935671E-2</v>
      </c>
    </row>
    <row r="71" spans="1:12" x14ac:dyDescent="0.2">
      <c r="B71" s="10">
        <v>2013</v>
      </c>
      <c r="C71" s="179">
        <v>956</v>
      </c>
      <c r="D71" s="179">
        <v>56014</v>
      </c>
      <c r="E71" s="333">
        <f t="shared" si="2"/>
        <v>4.480874316939891E-2</v>
      </c>
      <c r="F71" s="333">
        <f t="shared" si="3"/>
        <v>-3.469074741068813E-2</v>
      </c>
      <c r="G71" s="121"/>
      <c r="H71" s="10">
        <v>2013</v>
      </c>
      <c r="I71" s="179">
        <v>939</v>
      </c>
      <c r="J71" s="179">
        <v>54700</v>
      </c>
      <c r="K71" s="333">
        <f t="shared" si="4"/>
        <v>-5.6281407035175882E-2</v>
      </c>
      <c r="L71" s="333">
        <f t="shared" si="5"/>
        <v>-4.3140324371552866E-3</v>
      </c>
    </row>
    <row r="72" spans="1:12" x14ac:dyDescent="0.2">
      <c r="B72" s="10">
        <v>2014</v>
      </c>
      <c r="C72" s="179">
        <v>931</v>
      </c>
      <c r="D72" s="179">
        <v>56725</v>
      </c>
      <c r="E72" s="333">
        <f t="shared" si="2"/>
        <v>-2.615062761506276E-2</v>
      </c>
      <c r="F72" s="333">
        <f t="shared" si="3"/>
        <v>1.2693255257614168E-2</v>
      </c>
      <c r="G72" s="121"/>
      <c r="H72" s="10">
        <v>2014</v>
      </c>
      <c r="I72" s="179">
        <v>947</v>
      </c>
      <c r="J72" s="179">
        <v>54239</v>
      </c>
      <c r="K72" s="333">
        <f t="shared" si="4"/>
        <v>8.5197018104366355E-3</v>
      </c>
      <c r="L72" s="333">
        <f t="shared" si="5"/>
        <v>-8.4277879341864721E-3</v>
      </c>
    </row>
    <row r="73" spans="1:12" x14ac:dyDescent="0.2">
      <c r="B73" s="10">
        <v>2015</v>
      </c>
      <c r="C73" s="179">
        <v>905</v>
      </c>
      <c r="D73" s="179">
        <v>55098</v>
      </c>
      <c r="E73" s="333">
        <f t="shared" si="2"/>
        <v>-2.7926960257787327E-2</v>
      </c>
      <c r="F73" s="333">
        <f t="shared" si="3"/>
        <v>-2.8682238871749668E-2</v>
      </c>
      <c r="G73" s="121"/>
      <c r="H73" s="10">
        <v>2015</v>
      </c>
      <c r="I73" s="179">
        <v>1054</v>
      </c>
      <c r="J73" s="179">
        <v>57579</v>
      </c>
      <c r="K73" s="333">
        <f t="shared" si="4"/>
        <v>0.11298838437170011</v>
      </c>
      <c r="L73" s="333">
        <f t="shared" si="5"/>
        <v>6.1579306403141652E-2</v>
      </c>
    </row>
    <row r="74" spans="1:12" x14ac:dyDescent="0.2">
      <c r="B74" s="10">
        <v>2016</v>
      </c>
      <c r="C74" s="179">
        <v>939</v>
      </c>
      <c r="D74" s="179">
        <v>54488</v>
      </c>
      <c r="E74" s="333">
        <f t="shared" si="2"/>
        <v>3.7569060773480663E-2</v>
      </c>
      <c r="F74" s="333">
        <f t="shared" si="3"/>
        <v>-1.1071182257069222E-2</v>
      </c>
      <c r="G74" s="121"/>
      <c r="H74" s="10">
        <v>2016</v>
      </c>
      <c r="I74" s="179">
        <v>979</v>
      </c>
      <c r="J74" s="179">
        <v>56728</v>
      </c>
      <c r="K74" s="333">
        <f t="shared" si="4"/>
        <v>-7.1157495256166978E-2</v>
      </c>
      <c r="L74" s="333">
        <f t="shared" si="5"/>
        <v>-1.4779693985654492E-2</v>
      </c>
    </row>
    <row r="75" spans="1:12" x14ac:dyDescent="0.2">
      <c r="B75" s="10">
        <v>2017</v>
      </c>
      <c r="C75" s="179">
        <v>856</v>
      </c>
      <c r="D75" s="179">
        <v>52861</v>
      </c>
      <c r="E75" s="333">
        <f t="shared" si="2"/>
        <v>-8.8391906283280086E-2</v>
      </c>
      <c r="F75" s="333">
        <f t="shared" si="3"/>
        <v>-2.9859785640875054E-2</v>
      </c>
      <c r="G75" s="121"/>
      <c r="H75" s="10">
        <v>2017</v>
      </c>
      <c r="I75" s="179">
        <v>1009</v>
      </c>
      <c r="J75" s="179">
        <v>57883</v>
      </c>
      <c r="K75" s="333">
        <f t="shared" si="4"/>
        <v>3.0643513789581207E-2</v>
      </c>
      <c r="L75" s="333">
        <f t="shared" si="5"/>
        <v>2.0360315893385984E-2</v>
      </c>
    </row>
    <row r="76" spans="1:12" x14ac:dyDescent="0.2">
      <c r="B76" s="10">
        <v>2018</v>
      </c>
      <c r="C76" s="179">
        <v>825</v>
      </c>
      <c r="D76" s="179">
        <v>51308</v>
      </c>
      <c r="E76" s="333">
        <f t="shared" si="2"/>
        <v>-3.6214953271028034E-2</v>
      </c>
      <c r="F76" s="333">
        <f t="shared" si="3"/>
        <v>-2.9378937212689884E-2</v>
      </c>
      <c r="G76" s="121"/>
      <c r="H76" s="10">
        <v>2018</v>
      </c>
      <c r="I76" s="179">
        <v>1078</v>
      </c>
      <c r="J76" s="179">
        <v>58503</v>
      </c>
      <c r="K76" s="333">
        <f t="shared" si="4"/>
        <v>6.8384539147670967E-2</v>
      </c>
      <c r="L76" s="333">
        <f t="shared" si="5"/>
        <v>1.0711262374099476E-2</v>
      </c>
    </row>
    <row r="77" spans="1:12" x14ac:dyDescent="0.2">
      <c r="B77" s="10">
        <v>2019</v>
      </c>
      <c r="C77" s="179">
        <v>816</v>
      </c>
      <c r="D77" s="179">
        <v>49863</v>
      </c>
      <c r="E77" s="333">
        <f t="shared" si="2"/>
        <v>-1.090909090909091E-2</v>
      </c>
      <c r="F77" s="333">
        <f t="shared" si="3"/>
        <v>-2.8163249395805723E-2</v>
      </c>
      <c r="G77" s="121"/>
      <c r="H77" s="10">
        <v>2019</v>
      </c>
      <c r="I77" s="179">
        <v>1044</v>
      </c>
      <c r="J77" s="179">
        <v>58108</v>
      </c>
      <c r="K77" s="333">
        <f t="shared" si="4"/>
        <v>-3.1539888682745827E-2</v>
      </c>
      <c r="L77" s="333">
        <f t="shared" si="5"/>
        <v>-6.7517905064697539E-3</v>
      </c>
    </row>
    <row r="78" spans="1:12" x14ac:dyDescent="0.2">
      <c r="B78" s="10">
        <v>2020</v>
      </c>
      <c r="C78" s="179">
        <v>855</v>
      </c>
      <c r="D78" s="179">
        <v>46809</v>
      </c>
      <c r="E78" s="333">
        <f t="shared" si="2"/>
        <v>4.779411764705882E-2</v>
      </c>
      <c r="F78" s="333">
        <f t="shared" si="3"/>
        <v>-6.1247819024126106E-2</v>
      </c>
      <c r="G78" s="121"/>
      <c r="H78" s="10">
        <v>2020</v>
      </c>
      <c r="I78" s="179">
        <v>1029</v>
      </c>
      <c r="J78" s="179">
        <v>64093</v>
      </c>
      <c r="K78" s="333">
        <f t="shared" si="4"/>
        <v>-1.4367816091954023E-2</v>
      </c>
      <c r="L78" s="333">
        <f t="shared" si="5"/>
        <v>0.10299786604254148</v>
      </c>
    </row>
    <row r="79" spans="1:12" x14ac:dyDescent="0.2">
      <c r="B79" s="10">
        <v>2021</v>
      </c>
      <c r="C79" s="179">
        <v>846</v>
      </c>
      <c r="D79" s="179">
        <v>47786</v>
      </c>
      <c r="E79" s="333">
        <f t="shared" si="2"/>
        <v>-1.0526315789473684E-2</v>
      </c>
      <c r="F79" s="333">
        <f t="shared" si="3"/>
        <v>2.0872054519430024E-2</v>
      </c>
      <c r="G79" s="121"/>
      <c r="H79" s="10">
        <v>2021</v>
      </c>
      <c r="I79" s="179">
        <v>1171</v>
      </c>
      <c r="J79" s="179">
        <v>63587</v>
      </c>
      <c r="K79" s="333">
        <f t="shared" si="4"/>
        <v>0.1379980563654033</v>
      </c>
      <c r="L79" s="333">
        <f t="shared" si="5"/>
        <v>-7.8947779008628084E-3</v>
      </c>
    </row>
    <row r="80" spans="1:12" x14ac:dyDescent="0.2">
      <c r="A80" s="79"/>
      <c r="B80" s="73" t="s">
        <v>60</v>
      </c>
      <c r="H80" s="73" t="s">
        <v>60</v>
      </c>
    </row>
    <row r="81" spans="1:8" x14ac:dyDescent="0.2">
      <c r="A81" s="79"/>
      <c r="B81" s="73"/>
      <c r="H81" s="73"/>
    </row>
    <row r="82" spans="1:8" x14ac:dyDescent="0.2">
      <c r="A82" s="79"/>
      <c r="B82" s="73"/>
      <c r="H82" s="73"/>
    </row>
    <row r="83" spans="1:8" x14ac:dyDescent="0.2">
      <c r="A83" s="79"/>
      <c r="B83" s="73"/>
      <c r="H83" s="73"/>
    </row>
    <row r="84" spans="1:8" x14ac:dyDescent="0.2">
      <c r="A84" s="79"/>
      <c r="B84" s="73"/>
      <c r="H84" s="73"/>
    </row>
    <row r="85" spans="1:8" x14ac:dyDescent="0.2">
      <c r="A85" s="79"/>
      <c r="B85" s="73"/>
      <c r="H85" s="73"/>
    </row>
    <row r="86" spans="1:8" x14ac:dyDescent="0.2">
      <c r="A86" s="79"/>
      <c r="B86" s="73"/>
      <c r="H86" s="73"/>
    </row>
    <row r="87" spans="1:8" x14ac:dyDescent="0.2">
      <c r="A87" s="79"/>
      <c r="B87" s="73"/>
      <c r="H87" s="73"/>
    </row>
    <row r="88" spans="1:8" x14ac:dyDescent="0.2">
      <c r="A88" s="79"/>
      <c r="B88" s="73"/>
      <c r="H88" s="73"/>
    </row>
    <row r="89" spans="1:8" x14ac:dyDescent="0.2">
      <c r="A89" s="79"/>
      <c r="B89" s="73"/>
      <c r="H89" s="73"/>
    </row>
    <row r="90" spans="1:8" x14ac:dyDescent="0.2">
      <c r="A90" s="79"/>
      <c r="B90" s="73"/>
      <c r="H90" s="73"/>
    </row>
    <row r="91" spans="1:8" x14ac:dyDescent="0.2">
      <c r="A91" s="79"/>
      <c r="B91" s="73"/>
      <c r="H91" s="73"/>
    </row>
    <row r="92" spans="1:8" x14ac:dyDescent="0.2">
      <c r="A92" s="79"/>
      <c r="B92" s="73"/>
      <c r="H92" s="73"/>
    </row>
    <row r="93" spans="1:8" x14ac:dyDescent="0.2">
      <c r="A93" s="79"/>
      <c r="B93" s="73"/>
      <c r="H93" s="73"/>
    </row>
    <row r="94" spans="1:8" x14ac:dyDescent="0.2">
      <c r="A94" s="79"/>
      <c r="B94" s="73"/>
      <c r="H94" s="73"/>
    </row>
    <row r="95" spans="1:8" x14ac:dyDescent="0.2">
      <c r="A95" s="79"/>
      <c r="B95" s="73"/>
      <c r="H95" s="73"/>
    </row>
    <row r="96" spans="1:8" x14ac:dyDescent="0.2">
      <c r="A96" s="79"/>
      <c r="B96" s="73"/>
      <c r="H96" s="73"/>
    </row>
    <row r="97" spans="1:99" x14ac:dyDescent="0.2">
      <c r="A97" s="79"/>
      <c r="B97" s="73"/>
      <c r="H97" s="73"/>
    </row>
    <row r="98" spans="1:99" x14ac:dyDescent="0.2">
      <c r="A98" s="79"/>
      <c r="B98" s="73"/>
      <c r="H98" s="73"/>
    </row>
    <row r="99" spans="1:99" x14ac:dyDescent="0.2">
      <c r="B99" s="15"/>
    </row>
    <row r="100" spans="1:99" x14ac:dyDescent="0.2">
      <c r="A100" s="79"/>
      <c r="B100" s="15"/>
    </row>
    <row r="101" spans="1:99" ht="15" x14ac:dyDescent="0.25">
      <c r="A101" s="79"/>
      <c r="B101" s="16" t="s">
        <v>694</v>
      </c>
      <c r="I101" s="188"/>
      <c r="J101" s="188"/>
      <c r="K101" s="188"/>
      <c r="L101" s="188"/>
      <c r="M101" s="188"/>
      <c r="N101" s="141"/>
      <c r="O101" s="141"/>
      <c r="P101" s="141"/>
      <c r="Q101" s="141"/>
      <c r="R101" s="141"/>
      <c r="S101" s="141"/>
      <c r="T101" s="141"/>
      <c r="U101" s="141"/>
      <c r="V101" s="141"/>
      <c r="W101" s="141"/>
      <c r="X101" s="141"/>
      <c r="Y101" s="141"/>
      <c r="Z101" s="141"/>
      <c r="AA101" s="141"/>
      <c r="AB101" s="141"/>
      <c r="AC101" s="141"/>
      <c r="AD101" s="141"/>
      <c r="AE101" s="141"/>
      <c r="AF101" s="141"/>
      <c r="AG101" s="141"/>
      <c r="AH101" s="141"/>
      <c r="AI101" s="141"/>
      <c r="AJ101" s="141"/>
      <c r="AK101" s="141"/>
      <c r="AL101" s="141"/>
      <c r="AM101" s="141"/>
      <c r="AN101" s="141"/>
      <c r="AO101" s="141"/>
      <c r="AP101" s="141"/>
      <c r="AQ101" s="141"/>
      <c r="AR101" s="141"/>
      <c r="AS101" s="141"/>
      <c r="AT101" s="141"/>
      <c r="AU101" s="141"/>
      <c r="AV101" s="141"/>
      <c r="AW101" s="141"/>
      <c r="AX101" s="141"/>
      <c r="AY101" s="141"/>
      <c r="AZ101" s="141"/>
      <c r="BA101" s="141"/>
      <c r="BB101" s="141"/>
      <c r="BC101" s="141"/>
      <c r="BD101" s="141"/>
      <c r="BE101" s="141"/>
      <c r="BF101" s="141"/>
      <c r="BG101" s="141"/>
      <c r="BH101" s="141"/>
      <c r="BI101" s="141"/>
      <c r="BJ101" s="141"/>
      <c r="BK101" s="141"/>
      <c r="BL101" s="141"/>
      <c r="BM101" s="141"/>
      <c r="BN101" s="141"/>
      <c r="BO101" s="141"/>
      <c r="BP101" s="141"/>
      <c r="BQ101" s="141"/>
      <c r="BR101" s="141"/>
      <c r="BS101" s="141"/>
      <c r="BT101" s="141"/>
      <c r="BU101" s="141"/>
      <c r="BV101" s="141"/>
      <c r="BW101" s="141"/>
      <c r="BX101" s="141"/>
      <c r="BY101" s="141"/>
      <c r="BZ101" s="141"/>
      <c r="CA101" s="141"/>
      <c r="CB101" s="141"/>
      <c r="CC101" s="141"/>
      <c r="CD101" s="141"/>
      <c r="CE101" s="141"/>
      <c r="CF101" s="141"/>
      <c r="CG101" s="141"/>
      <c r="CH101" s="141"/>
      <c r="CI101" s="141"/>
      <c r="CJ101" s="141"/>
      <c r="CK101" s="141"/>
      <c r="CL101" s="141"/>
      <c r="CM101" s="141"/>
      <c r="CN101" s="141"/>
      <c r="CO101" s="141"/>
      <c r="CP101" s="141"/>
      <c r="CQ101" s="141"/>
      <c r="CR101" s="141"/>
      <c r="CS101" s="141"/>
      <c r="CT101" s="141"/>
      <c r="CU101" s="142"/>
    </row>
    <row r="102" spans="1:99" ht="15" customHeight="1" x14ac:dyDescent="0.2">
      <c r="A102" s="339"/>
      <c r="B102" s="13" t="s">
        <v>61</v>
      </c>
      <c r="C102" s="13" t="s">
        <v>38</v>
      </c>
      <c r="D102" s="13" t="s">
        <v>41</v>
      </c>
      <c r="E102" s="307"/>
      <c r="F102" s="184"/>
      <c r="G102" s="184"/>
      <c r="I102" s="188"/>
      <c r="J102" s="188"/>
      <c r="K102" s="188"/>
      <c r="L102" s="188"/>
      <c r="M102" s="188"/>
      <c r="N102" s="143"/>
      <c r="S102" s="143"/>
      <c r="T102" s="143"/>
      <c r="U102" s="143"/>
      <c r="V102" s="143"/>
      <c r="W102" s="143"/>
      <c r="X102" s="143"/>
      <c r="Y102" s="143"/>
      <c r="Z102" s="143"/>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c r="CN102" s="143"/>
      <c r="CO102" s="143"/>
      <c r="CP102" s="143"/>
      <c r="CQ102" s="143"/>
      <c r="CR102" s="143"/>
      <c r="CS102" s="143"/>
      <c r="CT102" s="143"/>
      <c r="CU102" s="144"/>
    </row>
    <row r="103" spans="1:99" x14ac:dyDescent="0.2">
      <c r="A103" s="79"/>
      <c r="B103" s="10" t="s">
        <v>62</v>
      </c>
      <c r="C103" s="344">
        <v>17488</v>
      </c>
      <c r="D103" s="344">
        <v>970374</v>
      </c>
      <c r="E103" s="313"/>
      <c r="F103" s="188"/>
      <c r="G103" s="188"/>
      <c r="I103" s="188"/>
      <c r="J103" s="188"/>
      <c r="K103" s="188"/>
      <c r="L103" s="188"/>
      <c r="M103" s="188"/>
      <c r="N103" s="143"/>
      <c r="S103" s="143"/>
      <c r="T103" s="143"/>
      <c r="U103" s="143"/>
      <c r="V103" s="143"/>
      <c r="W103" s="143"/>
      <c r="X103" s="143"/>
      <c r="Y103" s="143"/>
      <c r="Z103" s="143"/>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c r="CN103" s="143"/>
      <c r="CO103" s="143"/>
      <c r="CP103" s="143"/>
      <c r="CQ103" s="143"/>
      <c r="CR103" s="143"/>
      <c r="CS103" s="143"/>
      <c r="CT103" s="143"/>
      <c r="CU103" s="144"/>
    </row>
    <row r="104" spans="1:99" x14ac:dyDescent="0.2">
      <c r="A104" s="79"/>
      <c r="B104" s="10" t="s">
        <v>63</v>
      </c>
      <c r="C104" s="344">
        <v>8250</v>
      </c>
      <c r="D104" s="344">
        <v>567623</v>
      </c>
      <c r="E104" s="602" t="s">
        <v>771</v>
      </c>
      <c r="F104" s="603"/>
      <c r="G104" s="188"/>
      <c r="I104" s="188"/>
      <c r="J104" s="188"/>
      <c r="K104" s="188"/>
      <c r="L104" s="188"/>
      <c r="M104" s="188"/>
      <c r="N104" s="143"/>
      <c r="S104" s="143"/>
      <c r="T104" s="143"/>
      <c r="U104" s="143"/>
      <c r="V104" s="143"/>
      <c r="W104" s="143"/>
      <c r="X104" s="143"/>
      <c r="Y104" s="143"/>
      <c r="Z104" s="143"/>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c r="CN104" s="143"/>
      <c r="CO104" s="143"/>
      <c r="CP104" s="143"/>
      <c r="CQ104" s="143"/>
      <c r="CR104" s="143"/>
      <c r="CS104" s="143"/>
      <c r="CT104" s="143"/>
      <c r="CU104" s="144"/>
    </row>
    <row r="105" spans="1:99" x14ac:dyDescent="0.2">
      <c r="A105" s="79"/>
      <c r="B105" s="10" t="s">
        <v>64</v>
      </c>
      <c r="C105" s="344">
        <v>47049</v>
      </c>
      <c r="D105" s="344">
        <v>2719022</v>
      </c>
      <c r="E105" s="313">
        <f>SUM(C104:C105)</f>
        <v>55299</v>
      </c>
      <c r="F105" s="188"/>
      <c r="G105" s="188"/>
      <c r="I105" s="188"/>
      <c r="J105" s="188"/>
      <c r="K105" s="188"/>
      <c r="L105" s="188"/>
      <c r="M105" s="188"/>
      <c r="N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c r="CN105" s="143"/>
      <c r="CO105" s="143"/>
      <c r="CP105" s="143"/>
      <c r="CQ105" s="143"/>
      <c r="CR105" s="143"/>
      <c r="CS105" s="143"/>
      <c r="CT105" s="143"/>
      <c r="CU105" s="144"/>
    </row>
    <row r="106" spans="1:99" x14ac:dyDescent="0.2">
      <c r="A106" s="79"/>
      <c r="B106" s="10" t="s">
        <v>65</v>
      </c>
      <c r="C106" s="344">
        <v>12701</v>
      </c>
      <c r="D106" s="344">
        <v>718387</v>
      </c>
      <c r="E106" s="593" t="s">
        <v>773</v>
      </c>
      <c r="F106" s="594"/>
      <c r="G106" s="188"/>
      <c r="I106" s="188"/>
      <c r="J106" s="188"/>
      <c r="K106" s="188"/>
      <c r="L106" s="188"/>
      <c r="M106" s="188"/>
      <c r="N106" s="143"/>
    </row>
    <row r="107" spans="1:99" x14ac:dyDescent="0.2">
      <c r="A107" s="79"/>
      <c r="B107" s="10" t="s">
        <v>66</v>
      </c>
      <c r="C107" s="344">
        <v>1512</v>
      </c>
      <c r="D107" s="344">
        <v>88794</v>
      </c>
      <c r="E107" s="313">
        <f>SUM(C106:C107)</f>
        <v>14213</v>
      </c>
      <c r="F107" s="188"/>
      <c r="G107" s="188"/>
      <c r="I107" s="188"/>
      <c r="J107" s="188"/>
      <c r="K107" s="188"/>
      <c r="L107" s="188"/>
      <c r="M107" s="188"/>
      <c r="N107" s="143"/>
    </row>
    <row r="108" spans="1:99" x14ac:dyDescent="0.2">
      <c r="A108" s="79"/>
      <c r="B108" s="73" t="s">
        <v>40</v>
      </c>
      <c r="D108" s="71"/>
      <c r="E108" s="309"/>
      <c r="F108" s="71"/>
      <c r="G108" s="71"/>
      <c r="I108" s="188"/>
      <c r="J108" s="188"/>
      <c r="K108" s="188"/>
      <c r="L108" s="188"/>
      <c r="M108" s="188"/>
      <c r="N108" s="143"/>
    </row>
    <row r="109" spans="1:99" x14ac:dyDescent="0.2">
      <c r="A109" s="79"/>
      <c r="B109" s="15"/>
      <c r="D109" s="71"/>
      <c r="E109" s="309"/>
      <c r="F109" s="71"/>
      <c r="G109" s="71"/>
      <c r="I109" s="188"/>
      <c r="J109" s="188"/>
      <c r="K109" s="188"/>
      <c r="L109" s="188"/>
      <c r="M109" s="188"/>
      <c r="N109" s="143"/>
    </row>
    <row r="110" spans="1:99" ht="15" x14ac:dyDescent="0.25">
      <c r="A110" s="79"/>
      <c r="B110" s="16" t="s">
        <v>695</v>
      </c>
      <c r="D110" s="71"/>
      <c r="E110" s="309"/>
      <c r="F110" s="71"/>
      <c r="G110" s="71"/>
      <c r="I110" s="188"/>
      <c r="J110" s="188"/>
      <c r="K110" s="188"/>
      <c r="L110" s="188"/>
      <c r="M110" s="188"/>
      <c r="N110" s="143"/>
    </row>
    <row r="111" spans="1:99" x14ac:dyDescent="0.2">
      <c r="A111" s="339"/>
      <c r="B111" s="13" t="s">
        <v>61</v>
      </c>
      <c r="C111" s="13" t="s">
        <v>38</v>
      </c>
      <c r="D111" s="13" t="s">
        <v>41</v>
      </c>
      <c r="E111" s="307"/>
      <c r="F111" s="184"/>
      <c r="G111" s="184"/>
      <c r="I111" s="188"/>
      <c r="J111" s="188"/>
      <c r="K111" s="188"/>
      <c r="L111" s="188"/>
      <c r="M111" s="188"/>
      <c r="N111" s="143"/>
    </row>
    <row r="112" spans="1:99" x14ac:dyDescent="0.2">
      <c r="A112" s="79"/>
      <c r="B112" s="10" t="s">
        <v>62</v>
      </c>
      <c r="C112" s="344">
        <v>15941</v>
      </c>
      <c r="D112" s="344">
        <v>911522</v>
      </c>
      <c r="E112" s="313"/>
      <c r="F112" s="188"/>
      <c r="G112" s="188"/>
      <c r="I112" s="188"/>
      <c r="J112" s="188"/>
      <c r="K112" s="188"/>
      <c r="L112" s="188"/>
      <c r="M112" s="188"/>
      <c r="N112" s="143"/>
    </row>
    <row r="113" spans="1:14" x14ac:dyDescent="0.2">
      <c r="A113" s="79"/>
      <c r="B113" s="10" t="s">
        <v>63</v>
      </c>
      <c r="C113" s="344">
        <v>9123</v>
      </c>
      <c r="D113" s="344">
        <v>557816</v>
      </c>
      <c r="E113" s="602" t="s">
        <v>771</v>
      </c>
      <c r="F113" s="603"/>
      <c r="G113" s="188"/>
      <c r="I113" s="188"/>
      <c r="J113" s="188"/>
      <c r="K113" s="188"/>
      <c r="L113" s="188"/>
      <c r="M113" s="188"/>
      <c r="N113" s="143"/>
    </row>
    <row r="114" spans="1:14" x14ac:dyDescent="0.2">
      <c r="A114" s="79"/>
      <c r="B114" s="10" t="s">
        <v>64</v>
      </c>
      <c r="C114" s="344">
        <v>49812</v>
      </c>
      <c r="D114" s="344">
        <v>2936701</v>
      </c>
      <c r="E114" s="313">
        <f>SUM(C113:C114)</f>
        <v>58935</v>
      </c>
      <c r="F114" s="188"/>
      <c r="G114" s="188"/>
      <c r="I114" s="145"/>
      <c r="J114" s="145"/>
      <c r="K114" s="143"/>
      <c r="L114" s="143"/>
      <c r="M114" s="143"/>
      <c r="N114" s="143"/>
    </row>
    <row r="115" spans="1:14" x14ac:dyDescent="0.2">
      <c r="A115" s="79"/>
      <c r="B115" s="10" t="s">
        <v>65</v>
      </c>
      <c r="C115" s="344">
        <v>18715</v>
      </c>
      <c r="D115" s="344">
        <v>942552</v>
      </c>
      <c r="E115" s="593" t="s">
        <v>773</v>
      </c>
      <c r="F115" s="594"/>
      <c r="G115" s="188"/>
      <c r="I115" s="145"/>
      <c r="J115" s="145"/>
      <c r="K115" s="143"/>
      <c r="L115" s="143"/>
      <c r="M115" s="143"/>
      <c r="N115" s="143"/>
    </row>
    <row r="116" spans="1:14" x14ac:dyDescent="0.2">
      <c r="A116" s="79"/>
      <c r="B116" s="10" t="s">
        <v>66</v>
      </c>
      <c r="C116" s="344">
        <v>2819</v>
      </c>
      <c r="D116" s="344">
        <v>131309</v>
      </c>
      <c r="E116" s="313">
        <f>SUM(C115:C116)</f>
        <v>21534</v>
      </c>
      <c r="F116" s="188"/>
      <c r="G116" s="188"/>
      <c r="I116" s="145"/>
      <c r="J116" s="145"/>
      <c r="K116" s="143"/>
      <c r="L116" s="143"/>
      <c r="M116" s="143"/>
      <c r="N116" s="143"/>
    </row>
    <row r="117" spans="1:14" x14ac:dyDescent="0.2">
      <c r="A117" s="79"/>
      <c r="B117" s="73" t="s">
        <v>40</v>
      </c>
      <c r="D117" s="71"/>
      <c r="E117" s="309"/>
      <c r="F117" s="71"/>
      <c r="G117" s="71"/>
      <c r="I117" s="145"/>
      <c r="J117" s="145"/>
      <c r="K117" s="143"/>
      <c r="L117" s="143"/>
      <c r="M117" s="143"/>
      <c r="N117" s="143"/>
    </row>
    <row r="118" spans="1:14" x14ac:dyDescent="0.2">
      <c r="A118" s="79"/>
      <c r="B118" s="15"/>
      <c r="D118" s="71"/>
      <c r="E118" s="309"/>
      <c r="F118" s="71"/>
      <c r="G118" s="71"/>
      <c r="I118" s="145"/>
      <c r="J118" s="145"/>
      <c r="K118" s="143"/>
      <c r="L118" s="143"/>
      <c r="M118" s="143"/>
      <c r="N118" s="143"/>
    </row>
    <row r="119" spans="1:14" ht="15" x14ac:dyDescent="0.25">
      <c r="A119" s="79"/>
      <c r="B119" s="16" t="s">
        <v>696</v>
      </c>
      <c r="D119" s="71"/>
      <c r="E119" s="309"/>
      <c r="F119" s="71"/>
      <c r="G119" s="71"/>
      <c r="I119" s="145"/>
      <c r="J119" s="145"/>
      <c r="K119" s="146"/>
      <c r="L119" s="79"/>
      <c r="M119" s="79"/>
      <c r="N119" s="79"/>
    </row>
    <row r="120" spans="1:14" x14ac:dyDescent="0.2">
      <c r="A120" s="339"/>
      <c r="B120" s="13" t="s">
        <v>61</v>
      </c>
      <c r="C120" s="13" t="s">
        <v>38</v>
      </c>
      <c r="D120" s="13" t="s">
        <v>41</v>
      </c>
      <c r="E120" s="307"/>
      <c r="F120" s="184"/>
      <c r="G120" s="184"/>
      <c r="I120" s="145"/>
      <c r="J120" s="145"/>
      <c r="K120" s="146"/>
      <c r="L120" s="79"/>
      <c r="M120" s="79"/>
      <c r="N120" s="79"/>
    </row>
    <row r="121" spans="1:14" x14ac:dyDescent="0.2">
      <c r="A121" s="79"/>
      <c r="B121" s="10" t="s">
        <v>62</v>
      </c>
      <c r="C121" s="37">
        <f>(C112-C103)/C103</f>
        <v>-8.8460658737419942E-2</v>
      </c>
      <c r="D121" s="37">
        <f>(D112-D103)/D103</f>
        <v>-6.0648780779369603E-2</v>
      </c>
      <c r="E121" s="308"/>
      <c r="F121" s="186"/>
      <c r="G121" s="186"/>
      <c r="I121" s="145"/>
      <c r="J121" s="145"/>
      <c r="K121" s="146"/>
      <c r="L121" s="79"/>
      <c r="M121" s="79"/>
      <c r="N121" s="79"/>
    </row>
    <row r="122" spans="1:14" x14ac:dyDescent="0.2">
      <c r="A122" s="79"/>
      <c r="B122" s="10" t="s">
        <v>63</v>
      </c>
      <c r="C122" s="37">
        <f t="shared" ref="C122:D125" si="6">(C113-C104)/C104</f>
        <v>0.10581818181818183</v>
      </c>
      <c r="D122" s="37">
        <f t="shared" si="6"/>
        <v>-1.7277312582471113E-2</v>
      </c>
      <c r="E122" s="602" t="s">
        <v>772</v>
      </c>
      <c r="F122" s="603"/>
      <c r="G122" s="186"/>
      <c r="I122" s="145"/>
      <c r="J122" s="145"/>
      <c r="K122" s="146"/>
      <c r="L122" s="79"/>
      <c r="M122" s="79"/>
      <c r="N122" s="79"/>
    </row>
    <row r="123" spans="1:14" x14ac:dyDescent="0.2">
      <c r="A123" s="79"/>
      <c r="B123" s="10" t="s">
        <v>64</v>
      </c>
      <c r="C123" s="37">
        <f t="shared" si="6"/>
        <v>5.8726009054390106E-2</v>
      </c>
      <c r="D123" s="37">
        <f t="shared" si="6"/>
        <v>8.0057829616678344E-2</v>
      </c>
      <c r="E123" s="447">
        <f>(E114-E105)/E105</f>
        <v>6.5751641078500511E-2</v>
      </c>
      <c r="F123" s="186"/>
      <c r="G123" s="186"/>
      <c r="I123" s="145"/>
      <c r="J123" s="145"/>
      <c r="K123" s="146"/>
      <c r="L123" s="79"/>
      <c r="M123" s="79"/>
      <c r="N123" s="79"/>
    </row>
    <row r="124" spans="1:14" x14ac:dyDescent="0.2">
      <c r="A124" s="79"/>
      <c r="B124" s="10" t="s">
        <v>65</v>
      </c>
      <c r="C124" s="37">
        <f t="shared" si="6"/>
        <v>0.47350602314778362</v>
      </c>
      <c r="D124" s="37">
        <f t="shared" si="6"/>
        <v>0.31203933256030525</v>
      </c>
      <c r="E124" s="593" t="s">
        <v>774</v>
      </c>
      <c r="F124" s="594"/>
      <c r="G124" s="186"/>
      <c r="I124" s="145"/>
      <c r="J124" s="145"/>
      <c r="K124" s="146"/>
      <c r="L124" s="79"/>
      <c r="M124" s="79"/>
      <c r="N124" s="79"/>
    </row>
    <row r="125" spans="1:14" x14ac:dyDescent="0.2">
      <c r="A125" s="79"/>
      <c r="B125" s="10" t="s">
        <v>66</v>
      </c>
      <c r="C125" s="37">
        <f t="shared" si="6"/>
        <v>0.86441798941798942</v>
      </c>
      <c r="D125" s="37">
        <f t="shared" si="6"/>
        <v>0.47880487420321194</v>
      </c>
      <c r="E125" s="447">
        <f>(E116-E107)/E107</f>
        <v>0.51509181735031306</v>
      </c>
      <c r="F125" s="186"/>
      <c r="G125" s="186"/>
      <c r="I125" s="145"/>
      <c r="J125" s="145"/>
      <c r="K125" s="146"/>
      <c r="L125" s="79"/>
      <c r="M125" s="79"/>
      <c r="N125" s="79"/>
    </row>
    <row r="126" spans="1:14" x14ac:dyDescent="0.2">
      <c r="A126" s="79"/>
      <c r="B126" s="73" t="s">
        <v>40</v>
      </c>
      <c r="D126" s="71"/>
      <c r="E126" s="309"/>
      <c r="F126" s="71"/>
      <c r="G126" s="71"/>
      <c r="I126" s="145"/>
      <c r="J126" s="145"/>
      <c r="K126" s="146"/>
      <c r="L126" s="79"/>
      <c r="M126" s="79"/>
      <c r="N126" s="79"/>
    </row>
    <row r="127" spans="1:14" x14ac:dyDescent="0.2">
      <c r="B127" s="15"/>
      <c r="D127" s="71"/>
      <c r="E127" s="309"/>
      <c r="F127" s="71"/>
      <c r="G127" s="71"/>
      <c r="I127" s="145"/>
      <c r="J127" s="145"/>
      <c r="K127" s="146"/>
      <c r="L127" s="79"/>
      <c r="M127" s="79"/>
      <c r="N127" s="79"/>
    </row>
    <row r="128" spans="1:14" x14ac:dyDescent="0.2">
      <c r="D128" s="71"/>
      <c r="E128" s="309"/>
      <c r="F128" s="71"/>
      <c r="G128" s="71"/>
      <c r="I128" s="145"/>
      <c r="J128" s="145"/>
      <c r="K128" s="146"/>
      <c r="L128" s="79"/>
      <c r="M128" s="79"/>
      <c r="N128" s="79"/>
    </row>
    <row r="129" spans="1:20" ht="15" x14ac:dyDescent="0.25">
      <c r="B129" s="16" t="s">
        <v>697</v>
      </c>
      <c r="E129" s="71"/>
      <c r="F129" s="16" t="s">
        <v>778</v>
      </c>
      <c r="H129" s="71"/>
      <c r="J129" s="16" t="s">
        <v>779</v>
      </c>
      <c r="L129" s="71"/>
      <c r="M129" s="79"/>
      <c r="N129" s="16" t="s">
        <v>777</v>
      </c>
      <c r="P129" s="71"/>
      <c r="Q129" s="71"/>
      <c r="R129" s="16" t="s">
        <v>780</v>
      </c>
      <c r="T129" s="71"/>
    </row>
    <row r="130" spans="1:20" x14ac:dyDescent="0.2">
      <c r="A130" s="340"/>
      <c r="B130" s="13" t="s">
        <v>61</v>
      </c>
      <c r="C130" s="13" t="s">
        <v>38</v>
      </c>
      <c r="D130" s="13" t="s">
        <v>41</v>
      </c>
      <c r="E130" s="338"/>
      <c r="F130" s="13" t="s">
        <v>61</v>
      </c>
      <c r="G130" s="13" t="s">
        <v>38</v>
      </c>
      <c r="H130" s="13" t="s">
        <v>41</v>
      </c>
      <c r="I130" s="340"/>
      <c r="J130" s="13" t="s">
        <v>61</v>
      </c>
      <c r="K130" s="13" t="s">
        <v>38</v>
      </c>
      <c r="L130" s="13" t="s">
        <v>41</v>
      </c>
      <c r="M130" s="339"/>
      <c r="N130" s="13" t="s">
        <v>61</v>
      </c>
      <c r="O130" s="13" t="s">
        <v>38</v>
      </c>
      <c r="P130" s="13" t="s">
        <v>41</v>
      </c>
      <c r="Q130" s="338"/>
      <c r="R130" s="13" t="s">
        <v>61</v>
      </c>
      <c r="S130" s="13" t="s">
        <v>38</v>
      </c>
      <c r="T130" s="13" t="s">
        <v>41</v>
      </c>
    </row>
    <row r="131" spans="1:20" x14ac:dyDescent="0.2">
      <c r="B131" s="165" t="s">
        <v>67</v>
      </c>
      <c r="C131" s="305">
        <v>7937</v>
      </c>
      <c r="D131" s="305">
        <v>467133</v>
      </c>
      <c r="E131" s="188"/>
      <c r="F131" s="165" t="s">
        <v>67</v>
      </c>
      <c r="G131" s="305">
        <v>6770</v>
      </c>
      <c r="H131" s="305">
        <v>429504</v>
      </c>
      <c r="I131" s="71"/>
      <c r="J131" s="165" t="s">
        <v>67</v>
      </c>
      <c r="K131" s="305">
        <v>6463</v>
      </c>
      <c r="L131" s="305">
        <v>421967</v>
      </c>
      <c r="M131" s="79"/>
      <c r="N131" s="165" t="s">
        <v>67</v>
      </c>
      <c r="O131" s="31">
        <f>(G131-C131)/C131</f>
        <v>-0.1470328839611944</v>
      </c>
      <c r="P131" s="31">
        <f>(H131-D131)/D131</f>
        <v>-8.0553075890592185E-2</v>
      </c>
      <c r="Q131" s="186"/>
      <c r="R131" s="165" t="s">
        <v>67</v>
      </c>
      <c r="S131" s="31">
        <f>(K131-C131)/C131</f>
        <v>-0.18571248582587879</v>
      </c>
      <c r="T131" s="31">
        <f>(L131-D131)/D131</f>
        <v>-9.6687667109795289E-2</v>
      </c>
    </row>
    <row r="132" spans="1:20" x14ac:dyDescent="0.2">
      <c r="B132" s="10" t="s">
        <v>68</v>
      </c>
      <c r="C132" s="306">
        <v>7552</v>
      </c>
      <c r="D132" s="306">
        <v>444387</v>
      </c>
      <c r="E132" s="188"/>
      <c r="F132" s="10" t="s">
        <v>68</v>
      </c>
      <c r="G132" s="306">
        <v>6443</v>
      </c>
      <c r="H132" s="306">
        <v>408078</v>
      </c>
      <c r="I132" s="71"/>
      <c r="J132" s="10" t="s">
        <v>68</v>
      </c>
      <c r="K132" s="306">
        <v>6161</v>
      </c>
      <c r="L132" s="306">
        <v>401388</v>
      </c>
      <c r="M132" s="79"/>
      <c r="N132" s="10" t="s">
        <v>68</v>
      </c>
      <c r="O132" s="31">
        <f t="shared" ref="O132:O140" si="7">(G132-C132)/C132</f>
        <v>-0.14684851694915255</v>
      </c>
      <c r="P132" s="31">
        <f t="shared" ref="P132:P140" si="8">(H132-D132)/D132</f>
        <v>-8.1705810476004018E-2</v>
      </c>
      <c r="Q132" s="186"/>
      <c r="R132" s="10" t="s">
        <v>68</v>
      </c>
      <c r="S132" s="31">
        <f t="shared" ref="S132:S138" si="9">(K132-C132)/C132</f>
        <v>-0.1841896186440678</v>
      </c>
      <c r="T132" s="31">
        <f t="shared" ref="T132:T138" si="10">(L132-D132)/D132</f>
        <v>-9.6760256263122013E-2</v>
      </c>
    </row>
    <row r="133" spans="1:20" x14ac:dyDescent="0.2">
      <c r="B133" s="165" t="s">
        <v>69</v>
      </c>
      <c r="C133" s="305">
        <v>4807</v>
      </c>
      <c r="D133" s="305">
        <v>279845</v>
      </c>
      <c r="E133" s="188"/>
      <c r="F133" s="165" t="s">
        <v>69</v>
      </c>
      <c r="G133" s="305">
        <v>4706</v>
      </c>
      <c r="H133" s="305">
        <v>297662</v>
      </c>
      <c r="I133" s="71"/>
      <c r="J133" s="165" t="s">
        <v>69</v>
      </c>
      <c r="K133" s="305">
        <v>3949</v>
      </c>
      <c r="L133" s="305">
        <v>265221</v>
      </c>
      <c r="M133" s="79"/>
      <c r="N133" s="165" t="s">
        <v>69</v>
      </c>
      <c r="O133" s="31">
        <f t="shared" si="7"/>
        <v>-2.1011025587684626E-2</v>
      </c>
      <c r="P133" s="31">
        <f t="shared" si="8"/>
        <v>6.3667387303685971E-2</v>
      </c>
      <c r="Q133" s="186"/>
      <c r="R133" s="165" t="s">
        <v>69</v>
      </c>
      <c r="S133" s="31">
        <f t="shared" si="9"/>
        <v>-0.17848970251716248</v>
      </c>
      <c r="T133" s="31">
        <f t="shared" si="10"/>
        <v>-5.2257499687326917E-2</v>
      </c>
    </row>
    <row r="134" spans="1:20" x14ac:dyDescent="0.2">
      <c r="B134" s="10" t="s">
        <v>70</v>
      </c>
      <c r="C134" s="306">
        <v>3959</v>
      </c>
      <c r="D134" s="306">
        <v>271308</v>
      </c>
      <c r="E134" s="188"/>
      <c r="F134" s="10" t="s">
        <v>70</v>
      </c>
      <c r="G134" s="306">
        <v>3943</v>
      </c>
      <c r="H134" s="306">
        <v>288374</v>
      </c>
      <c r="I134" s="71"/>
      <c r="J134" s="10" t="s">
        <v>70</v>
      </c>
      <c r="K134" s="306">
        <v>3284</v>
      </c>
      <c r="L134" s="306">
        <v>256636</v>
      </c>
      <c r="M134" s="79"/>
      <c r="N134" s="10" t="s">
        <v>70</v>
      </c>
      <c r="O134" s="31">
        <f t="shared" si="7"/>
        <v>-4.0414246021722661E-3</v>
      </c>
      <c r="P134" s="31">
        <f t="shared" si="8"/>
        <v>6.2902678874194637E-2</v>
      </c>
      <c r="Q134" s="186"/>
      <c r="R134" s="10" t="s">
        <v>70</v>
      </c>
      <c r="S134" s="31">
        <f t="shared" si="9"/>
        <v>-0.17049760040414247</v>
      </c>
      <c r="T134" s="31">
        <f t="shared" si="10"/>
        <v>-5.4078759196190311E-2</v>
      </c>
    </row>
    <row r="135" spans="1:20" x14ac:dyDescent="0.2">
      <c r="B135" s="165" t="s">
        <v>71</v>
      </c>
      <c r="C135" s="305">
        <v>24648</v>
      </c>
      <c r="D135" s="305">
        <v>1434709</v>
      </c>
      <c r="E135" s="188"/>
      <c r="F135" s="165" t="s">
        <v>71</v>
      </c>
      <c r="G135" s="305">
        <v>23328</v>
      </c>
      <c r="H135" s="305">
        <v>1393106</v>
      </c>
      <c r="I135" s="71"/>
      <c r="J135" s="165" t="s">
        <v>71</v>
      </c>
      <c r="K135" s="305">
        <v>22744</v>
      </c>
      <c r="L135" s="305">
        <v>1414794</v>
      </c>
      <c r="M135" s="79"/>
      <c r="N135" s="165" t="s">
        <v>71</v>
      </c>
      <c r="O135" s="31">
        <f t="shared" si="7"/>
        <v>-5.3554040895813046E-2</v>
      </c>
      <c r="P135" s="31">
        <f t="shared" si="8"/>
        <v>-2.89975179635731E-2</v>
      </c>
      <c r="Q135" s="186"/>
      <c r="R135" s="165" t="s">
        <v>71</v>
      </c>
      <c r="S135" s="31">
        <f t="shared" si="9"/>
        <v>-7.7247646867900033E-2</v>
      </c>
      <c r="T135" s="31">
        <f t="shared" si="10"/>
        <v>-1.3880863645519754E-2</v>
      </c>
    </row>
    <row r="136" spans="1:20" x14ac:dyDescent="0.2">
      <c r="B136" s="10" t="s">
        <v>72</v>
      </c>
      <c r="C136" s="306">
        <v>24789</v>
      </c>
      <c r="D136" s="306">
        <v>1495027</v>
      </c>
      <c r="E136" s="188"/>
      <c r="F136" s="10" t="s">
        <v>72</v>
      </c>
      <c r="G136" s="306">
        <v>22747</v>
      </c>
      <c r="H136" s="306">
        <v>1429465</v>
      </c>
      <c r="I136" s="71"/>
      <c r="J136" s="10" t="s">
        <v>72</v>
      </c>
      <c r="K136" s="306">
        <v>21470</v>
      </c>
      <c r="L136" s="306">
        <v>1421752</v>
      </c>
      <c r="N136" s="10" t="s">
        <v>72</v>
      </c>
      <c r="O136" s="31">
        <f t="shared" si="7"/>
        <v>-8.2375247085400782E-2</v>
      </c>
      <c r="P136" s="31">
        <f t="shared" si="8"/>
        <v>-4.3853388601008542E-2</v>
      </c>
      <c r="Q136" s="186"/>
      <c r="R136" s="10" t="s">
        <v>72</v>
      </c>
      <c r="S136" s="31">
        <f t="shared" si="9"/>
        <v>-0.13389003186897414</v>
      </c>
      <c r="T136" s="31">
        <f t="shared" si="10"/>
        <v>-4.9012492750967036E-2</v>
      </c>
    </row>
    <row r="137" spans="1:20" x14ac:dyDescent="0.2">
      <c r="B137" s="165" t="s">
        <v>73</v>
      </c>
      <c r="C137" s="305">
        <v>8972</v>
      </c>
      <c r="D137" s="305">
        <v>446416</v>
      </c>
      <c r="E137" s="188"/>
      <c r="F137" s="165" t="s">
        <v>73</v>
      </c>
      <c r="G137" s="305">
        <v>10740</v>
      </c>
      <c r="H137" s="305">
        <v>523075</v>
      </c>
      <c r="I137" s="71"/>
      <c r="J137" s="165" t="s">
        <v>73</v>
      </c>
      <c r="K137" s="305">
        <v>10982</v>
      </c>
      <c r="L137" s="305">
        <v>543083</v>
      </c>
      <c r="N137" s="165" t="s">
        <v>73</v>
      </c>
      <c r="O137" s="31">
        <f t="shared" si="7"/>
        <v>0.19705751226036558</v>
      </c>
      <c r="P137" s="31">
        <f t="shared" si="8"/>
        <v>0.17172099566323787</v>
      </c>
      <c r="Q137" s="186"/>
      <c r="R137" s="165" t="s">
        <v>73</v>
      </c>
      <c r="S137" s="31">
        <f t="shared" si="9"/>
        <v>0.22403031654034775</v>
      </c>
      <c r="T137" s="31">
        <f t="shared" si="10"/>
        <v>0.21654017777140605</v>
      </c>
    </row>
    <row r="138" spans="1:20" x14ac:dyDescent="0.2">
      <c r="B138" s="10" t="s">
        <v>74</v>
      </c>
      <c r="C138" s="306">
        <v>10216</v>
      </c>
      <c r="D138" s="306">
        <v>513134</v>
      </c>
      <c r="E138" s="185"/>
      <c r="F138" s="10" t="s">
        <v>74</v>
      </c>
      <c r="G138" s="306">
        <v>12154</v>
      </c>
      <c r="H138" s="306">
        <v>608957</v>
      </c>
      <c r="I138" s="71"/>
      <c r="J138" s="10" t="s">
        <v>74</v>
      </c>
      <c r="K138" s="306">
        <v>12739</v>
      </c>
      <c r="L138" s="306">
        <v>630110</v>
      </c>
      <c r="N138" s="10" t="s">
        <v>74</v>
      </c>
      <c r="O138" s="31">
        <f t="shared" si="7"/>
        <v>0.18970242756460454</v>
      </c>
      <c r="P138" s="31">
        <f t="shared" si="8"/>
        <v>0.18674069541289409</v>
      </c>
      <c r="Q138" s="189"/>
      <c r="R138" s="10" t="s">
        <v>74</v>
      </c>
      <c r="S138" s="31">
        <f t="shared" si="9"/>
        <v>0.24696554424432263</v>
      </c>
      <c r="T138" s="31">
        <f t="shared" si="10"/>
        <v>0.22796384570112291</v>
      </c>
    </row>
    <row r="139" spans="1:20" x14ac:dyDescent="0.2">
      <c r="B139" s="165" t="s">
        <v>75</v>
      </c>
      <c r="C139" s="305">
        <v>1141</v>
      </c>
      <c r="D139" s="305">
        <v>48873</v>
      </c>
      <c r="E139" s="188"/>
      <c r="F139" s="165" t="s">
        <v>75</v>
      </c>
      <c r="G139" s="305">
        <v>1660</v>
      </c>
      <c r="H139" s="305">
        <v>69165</v>
      </c>
      <c r="I139" s="71"/>
      <c r="J139" s="165" t="s">
        <v>75</v>
      </c>
      <c r="K139" s="305">
        <v>2291</v>
      </c>
      <c r="L139" s="305">
        <v>91597</v>
      </c>
      <c r="N139" s="165" t="s">
        <v>75</v>
      </c>
      <c r="O139" s="31">
        <f t="shared" si="7"/>
        <v>0.45486415425065729</v>
      </c>
      <c r="P139" s="31">
        <f t="shared" si="8"/>
        <v>0.41519857590080411</v>
      </c>
      <c r="Q139" s="186"/>
      <c r="R139" s="165" t="s">
        <v>75</v>
      </c>
      <c r="S139" s="31">
        <f>(K139-C139)/C139</f>
        <v>1.0078878177037687</v>
      </c>
      <c r="T139" s="31">
        <f>(L139-D139)/D139</f>
        <v>0.87418410983569661</v>
      </c>
    </row>
    <row r="140" spans="1:20" x14ac:dyDescent="0.2">
      <c r="B140" s="10" t="s">
        <v>76</v>
      </c>
      <c r="C140" s="306">
        <v>1759</v>
      </c>
      <c r="D140" s="306">
        <v>85058</v>
      </c>
      <c r="E140" s="185"/>
      <c r="F140" s="10" t="s">
        <v>76</v>
      </c>
      <c r="G140" s="306">
        <v>2384</v>
      </c>
      <c r="H140" s="306">
        <v>102808</v>
      </c>
      <c r="I140" s="71"/>
      <c r="J140" s="10" t="s">
        <v>76</v>
      </c>
      <c r="K140" s="306">
        <v>3088</v>
      </c>
      <c r="L140" s="306">
        <v>128530</v>
      </c>
      <c r="N140" s="10" t="s">
        <v>76</v>
      </c>
      <c r="O140" s="31">
        <f t="shared" si="7"/>
        <v>0.35531552018192153</v>
      </c>
      <c r="P140" s="31">
        <f t="shared" si="8"/>
        <v>0.20868113522537562</v>
      </c>
      <c r="Q140" s="189"/>
      <c r="R140" s="10" t="s">
        <v>76</v>
      </c>
      <c r="S140" s="31">
        <f>(K140-C140)/C140</f>
        <v>0.75554292211483798</v>
      </c>
      <c r="T140" s="31">
        <f>(L140-D140)/D140</f>
        <v>0.51108655270521286</v>
      </c>
    </row>
    <row r="141" spans="1:20" x14ac:dyDescent="0.2">
      <c r="B141" s="73" t="s">
        <v>77</v>
      </c>
      <c r="D141" s="71"/>
      <c r="F141" s="73" t="s">
        <v>77</v>
      </c>
      <c r="G141" s="71"/>
      <c r="H141" s="71"/>
      <c r="J141" s="73" t="s">
        <v>77</v>
      </c>
      <c r="K141" s="71"/>
      <c r="N141" s="73" t="s">
        <v>77</v>
      </c>
      <c r="O141" s="71"/>
      <c r="R141" s="10" t="s">
        <v>775</v>
      </c>
      <c r="S141" s="31">
        <f>(S133+S134+S135+S136)/4</f>
        <v>-0.14003124541454479</v>
      </c>
      <c r="T141" s="31">
        <f>(T133+T134+T135+T136)/4</f>
        <v>-4.2307403820001005E-2</v>
      </c>
    </row>
    <row r="142" spans="1:20" ht="15" x14ac:dyDescent="0.25">
      <c r="B142" s="15"/>
      <c r="D142" s="71"/>
      <c r="E142" s="309"/>
      <c r="F142" s="71"/>
      <c r="G142" s="71"/>
      <c r="H142" s="71"/>
      <c r="I142" s="145"/>
      <c r="J142" s="141"/>
      <c r="M142" s="15"/>
      <c r="O142" s="71"/>
      <c r="R142" s="10" t="s">
        <v>776</v>
      </c>
      <c r="S142" s="31">
        <f>(S137+S138+S139+S140)/4</f>
        <v>0.55860665015081923</v>
      </c>
      <c r="T142" s="31">
        <f>(T137+T138+T139+T140)/4</f>
        <v>0.45744367150335963</v>
      </c>
    </row>
    <row r="143" spans="1:20" ht="15" x14ac:dyDescent="0.25">
      <c r="B143" s="16" t="s">
        <v>781</v>
      </c>
      <c r="F143" s="71"/>
      <c r="G143" s="71"/>
      <c r="R143" s="73" t="s">
        <v>77</v>
      </c>
    </row>
    <row r="144" spans="1:20" x14ac:dyDescent="0.2">
      <c r="A144" s="340"/>
      <c r="B144" s="13" t="s">
        <v>61</v>
      </c>
      <c r="C144" s="13" t="s">
        <v>38</v>
      </c>
      <c r="D144" s="13" t="s">
        <v>78</v>
      </c>
      <c r="E144" s="13" t="s">
        <v>574</v>
      </c>
      <c r="F144" s="13" t="s">
        <v>41</v>
      </c>
      <c r="G144" s="13" t="s">
        <v>572</v>
      </c>
      <c r="H144" s="13" t="s">
        <v>575</v>
      </c>
    </row>
    <row r="145" spans="1:19" x14ac:dyDescent="0.2">
      <c r="B145" s="165" t="s">
        <v>79</v>
      </c>
      <c r="C145" s="26">
        <f>SUM(C131:C132)</f>
        <v>15489</v>
      </c>
      <c r="D145" s="31">
        <f>C145/$C$150</f>
        <v>0.1617143453748173</v>
      </c>
      <c r="E145" s="314"/>
      <c r="F145" s="26">
        <f>SUM(D131:D132)</f>
        <v>911520</v>
      </c>
      <c r="G145" s="31">
        <f>F145/$F$150</f>
        <v>0.16615717777789929</v>
      </c>
      <c r="H145" s="314"/>
    </row>
    <row r="146" spans="1:19" ht="28.5" x14ac:dyDescent="0.2">
      <c r="B146" s="165" t="s">
        <v>80</v>
      </c>
      <c r="C146" s="26">
        <f>SUM(C133:C134)</f>
        <v>8766</v>
      </c>
      <c r="D146" s="31">
        <f t="shared" ref="D146:D150" si="11">C146/$C$150</f>
        <v>9.1522238463144709E-2</v>
      </c>
      <c r="E146" s="314" t="s">
        <v>81</v>
      </c>
      <c r="F146" s="26">
        <f>SUM(D133:D134)</f>
        <v>551153</v>
      </c>
      <c r="G146" s="31">
        <f t="shared" ref="G146:G150" si="12">F146/$F$150</f>
        <v>0.10046738086254008</v>
      </c>
      <c r="H146" s="314" t="s">
        <v>81</v>
      </c>
    </row>
    <row r="147" spans="1:19" x14ac:dyDescent="0.2">
      <c r="B147" s="165" t="s">
        <v>82</v>
      </c>
      <c r="C147" s="26">
        <f>SUM(C135:C136)</f>
        <v>49437</v>
      </c>
      <c r="D147" s="31">
        <f t="shared" si="11"/>
        <v>0.51615159741073291</v>
      </c>
      <c r="E147" s="315">
        <f>C146+C147</f>
        <v>58203</v>
      </c>
      <c r="F147" s="26">
        <f>SUM(D135:D136)</f>
        <v>2929736</v>
      </c>
      <c r="G147" s="31">
        <f t="shared" si="12"/>
        <v>0.53404935206502502</v>
      </c>
      <c r="H147" s="315">
        <f>F146+F147</f>
        <v>3480889</v>
      </c>
      <c r="S147" s="167"/>
    </row>
    <row r="148" spans="1:19" x14ac:dyDescent="0.2">
      <c r="B148" s="165" t="s">
        <v>83</v>
      </c>
      <c r="C148" s="26">
        <f>SUM(C137:C138)</f>
        <v>19188</v>
      </c>
      <c r="D148" s="31">
        <f t="shared" si="11"/>
        <v>0.20033409897682189</v>
      </c>
      <c r="E148" s="316" t="s">
        <v>84</v>
      </c>
      <c r="F148" s="26">
        <f>SUM(D137:D138)</f>
        <v>959550</v>
      </c>
      <c r="G148" s="31">
        <f t="shared" si="12"/>
        <v>0.17491236608827374</v>
      </c>
      <c r="H148" s="316" t="s">
        <v>84</v>
      </c>
    </row>
    <row r="149" spans="1:19" x14ac:dyDescent="0.2">
      <c r="B149" s="165" t="s">
        <v>85</v>
      </c>
      <c r="C149" s="26">
        <f>SUM(C139:C140)</f>
        <v>2900</v>
      </c>
      <c r="D149" s="31">
        <f t="shared" si="11"/>
        <v>3.0277719774483191E-2</v>
      </c>
      <c r="E149" s="317">
        <f>C148+C149</f>
        <v>22088</v>
      </c>
      <c r="F149" s="26">
        <f>SUM(D139:D140)</f>
        <v>133931</v>
      </c>
      <c r="G149" s="31">
        <f t="shared" si="12"/>
        <v>2.4413723206261884E-2</v>
      </c>
      <c r="H149" s="317">
        <f>F148+F149</f>
        <v>1093481</v>
      </c>
    </row>
    <row r="150" spans="1:19" x14ac:dyDescent="0.2">
      <c r="B150" s="165" t="s">
        <v>86</v>
      </c>
      <c r="C150" s="26">
        <f>SUM(C145:C149)</f>
        <v>95780</v>
      </c>
      <c r="D150" s="31">
        <f t="shared" si="11"/>
        <v>1</v>
      </c>
      <c r="E150" s="316"/>
      <c r="F150" s="26">
        <f>SUM(F145:F149)</f>
        <v>5485890</v>
      </c>
      <c r="G150" s="31">
        <f t="shared" si="12"/>
        <v>1</v>
      </c>
      <c r="H150" s="316"/>
    </row>
    <row r="151" spans="1:19" x14ac:dyDescent="0.2">
      <c r="D151" s="186"/>
      <c r="E151" s="318"/>
      <c r="F151" s="71"/>
      <c r="G151" s="188"/>
    </row>
    <row r="152" spans="1:19" ht="15" x14ac:dyDescent="0.25">
      <c r="B152" s="16" t="s">
        <v>782</v>
      </c>
      <c r="E152" s="318"/>
      <c r="F152" s="71"/>
      <c r="G152" s="71"/>
    </row>
    <row r="153" spans="1:19" x14ac:dyDescent="0.2">
      <c r="A153" s="340"/>
      <c r="B153" s="13" t="s">
        <v>61</v>
      </c>
      <c r="C153" s="13" t="s">
        <v>38</v>
      </c>
      <c r="D153" s="13" t="s">
        <v>87</v>
      </c>
      <c r="E153" s="13" t="s">
        <v>574</v>
      </c>
      <c r="F153" s="13" t="s">
        <v>41</v>
      </c>
      <c r="G153" s="13" t="s">
        <v>573</v>
      </c>
      <c r="H153" s="13" t="s">
        <v>575</v>
      </c>
    </row>
    <row r="154" spans="1:19" ht="28.5" x14ac:dyDescent="0.2">
      <c r="B154" s="165" t="s">
        <v>79</v>
      </c>
      <c r="C154" s="26">
        <f>SUM(K131:K132)</f>
        <v>12624</v>
      </c>
      <c r="D154" s="31">
        <f>C154/$C$159</f>
        <v>0.13549280355475415</v>
      </c>
      <c r="E154" s="314" t="s">
        <v>88</v>
      </c>
      <c r="F154" s="26">
        <f>SUM(L131:L132)</f>
        <v>823355</v>
      </c>
      <c r="G154" s="31">
        <f>F154/$F$159</f>
        <v>0.14768492925121407</v>
      </c>
      <c r="H154" s="314" t="s">
        <v>81</v>
      </c>
    </row>
    <row r="155" spans="1:19" x14ac:dyDescent="0.2">
      <c r="B155" s="165" t="s">
        <v>80</v>
      </c>
      <c r="C155" s="26">
        <f>SUM(K133:K134)</f>
        <v>7233</v>
      </c>
      <c r="D155" s="31">
        <f t="shared" ref="D155:D159" si="13">C155/$C$159</f>
        <v>7.7631451846604624E-2</v>
      </c>
      <c r="E155" s="315">
        <f>C155+C156</f>
        <v>51447</v>
      </c>
      <c r="F155" s="26">
        <f>SUM(L133:L134)</f>
        <v>521857</v>
      </c>
      <c r="G155" s="31">
        <f t="shared" ref="G155:G159" si="14">F155/$F$159</f>
        <v>9.3605327136230196E-2</v>
      </c>
      <c r="H155" s="315">
        <f>F155+F156</f>
        <v>3358403</v>
      </c>
    </row>
    <row r="156" spans="1:19" ht="28.5" x14ac:dyDescent="0.2">
      <c r="B156" s="165" t="s">
        <v>82</v>
      </c>
      <c r="C156" s="26">
        <f>SUM(K135:K136)</f>
        <v>44214</v>
      </c>
      <c r="D156" s="31">
        <f t="shared" si="13"/>
        <v>0.47454680104324309</v>
      </c>
      <c r="E156" s="319" t="s">
        <v>576</v>
      </c>
      <c r="F156" s="26">
        <f>SUM(L135:L136)</f>
        <v>2836546</v>
      </c>
      <c r="G156" s="31">
        <f t="shared" si="14"/>
        <v>0.50879037028719598</v>
      </c>
      <c r="H156" s="319" t="s">
        <v>576</v>
      </c>
    </row>
    <row r="157" spans="1:19" x14ac:dyDescent="0.2">
      <c r="B157" s="165" t="s">
        <v>83</v>
      </c>
      <c r="C157" s="26">
        <f>SUM(K137:K138)</f>
        <v>23721</v>
      </c>
      <c r="D157" s="31">
        <f t="shared" si="13"/>
        <v>0.25459638728789002</v>
      </c>
      <c r="E157" s="342">
        <f>(E155-E147)/E147</f>
        <v>-0.11607649090253079</v>
      </c>
      <c r="F157" s="26">
        <f>SUM(L137:L138)</f>
        <v>1173193</v>
      </c>
      <c r="G157" s="31">
        <f t="shared" si="14"/>
        <v>0.21043526207166968</v>
      </c>
      <c r="H157" s="342">
        <f>(H155-H147)/H147</f>
        <v>-3.5188137283320438E-2</v>
      </c>
      <c r="J157" s="178"/>
    </row>
    <row r="158" spans="1:19" x14ac:dyDescent="0.2">
      <c r="B158" s="165" t="s">
        <v>85</v>
      </c>
      <c r="C158" s="26">
        <f>SUM(K139:K140)</f>
        <v>5379</v>
      </c>
      <c r="D158" s="31">
        <f t="shared" si="13"/>
        <v>5.7732556267508131E-2</v>
      </c>
      <c r="E158" s="316" t="s">
        <v>89</v>
      </c>
      <c r="F158" s="26">
        <f>SUM(L139:L140)</f>
        <v>220127</v>
      </c>
      <c r="G158" s="31">
        <f t="shared" si="14"/>
        <v>3.9484111253690085E-2</v>
      </c>
      <c r="H158" s="316" t="s">
        <v>84</v>
      </c>
      <c r="J158" s="178"/>
    </row>
    <row r="159" spans="1:19" x14ac:dyDescent="0.2">
      <c r="B159" s="165" t="s">
        <v>86</v>
      </c>
      <c r="C159" s="26">
        <f>SUM(C154:C158)</f>
        <v>93171</v>
      </c>
      <c r="D159" s="31">
        <f t="shared" si="13"/>
        <v>1</v>
      </c>
      <c r="E159" s="317">
        <f>C157+C158</f>
        <v>29100</v>
      </c>
      <c r="F159" s="26">
        <f>SUM(F154:F158)</f>
        <v>5575078</v>
      </c>
      <c r="G159" s="31">
        <f t="shared" si="14"/>
        <v>1</v>
      </c>
      <c r="H159" s="317">
        <f>F157+F158</f>
        <v>1393320</v>
      </c>
      <c r="J159" s="178"/>
    </row>
    <row r="160" spans="1:19" x14ac:dyDescent="0.2">
      <c r="E160" s="319" t="s">
        <v>577</v>
      </c>
      <c r="F160" s="385"/>
      <c r="G160" s="71"/>
      <c r="H160" s="319" t="s">
        <v>577</v>
      </c>
      <c r="J160" s="178"/>
    </row>
    <row r="161" spans="1:10" x14ac:dyDescent="0.2">
      <c r="B161" s="357"/>
      <c r="C161" s="357"/>
      <c r="D161" s="357"/>
      <c r="E161" s="342">
        <f>(E159-E149)/E149</f>
        <v>0.31745744295545092</v>
      </c>
      <c r="F161" s="385"/>
      <c r="G161" s="71"/>
      <c r="H161" s="342">
        <f>(H159-H149)/H149</f>
        <v>0.27420595328130987</v>
      </c>
      <c r="J161" s="178"/>
    </row>
    <row r="162" spans="1:10" ht="15" x14ac:dyDescent="0.25">
      <c r="B162" s="16" t="s">
        <v>783</v>
      </c>
      <c r="F162" s="71"/>
      <c r="G162" s="71"/>
    </row>
    <row r="163" spans="1:10" x14ac:dyDescent="0.2">
      <c r="A163" s="340"/>
      <c r="B163" s="132" t="s">
        <v>61</v>
      </c>
      <c r="C163" s="13" t="s">
        <v>38</v>
      </c>
      <c r="D163" s="13" t="s">
        <v>41</v>
      </c>
      <c r="F163" s="190"/>
      <c r="G163" s="190"/>
    </row>
    <row r="164" spans="1:10" x14ac:dyDescent="0.2">
      <c r="B164" s="10" t="s">
        <v>79</v>
      </c>
      <c r="C164" s="168">
        <f t="shared" ref="C164:C169" si="15">(C154-C145)/C145</f>
        <v>-0.18496997869455742</v>
      </c>
      <c r="D164" s="168">
        <f>(F154-F145)/F145</f>
        <v>-9.6723055994383009E-2</v>
      </c>
      <c r="F164" s="191"/>
      <c r="G164" s="191"/>
    </row>
    <row r="165" spans="1:10" x14ac:dyDescent="0.2">
      <c r="B165" s="10" t="s">
        <v>80</v>
      </c>
      <c r="C165" s="168">
        <f t="shared" si="15"/>
        <v>-0.17488021902806297</v>
      </c>
      <c r="D165" s="168">
        <f t="shared" ref="D165:D169" si="16">(F155-F146)/F146</f>
        <v>-5.315402438161454E-2</v>
      </c>
      <c r="F165" s="191"/>
      <c r="G165" s="191"/>
    </row>
    <row r="166" spans="1:10" x14ac:dyDescent="0.2">
      <c r="B166" s="10" t="s">
        <v>82</v>
      </c>
      <c r="C166" s="168">
        <f t="shared" si="15"/>
        <v>-0.1056496146610838</v>
      </c>
      <c r="D166" s="168">
        <f t="shared" si="16"/>
        <v>-3.1808326757086648E-2</v>
      </c>
      <c r="F166" s="191"/>
      <c r="G166" s="191"/>
    </row>
    <row r="167" spans="1:10" x14ac:dyDescent="0.2">
      <c r="B167" s="10" t="s">
        <v>83</v>
      </c>
      <c r="C167" s="168">
        <f t="shared" si="15"/>
        <v>0.23624140087554721</v>
      </c>
      <c r="D167" s="168">
        <f t="shared" si="16"/>
        <v>0.22264915845969466</v>
      </c>
      <c r="F167" s="191"/>
      <c r="G167" s="191"/>
    </row>
    <row r="168" spans="1:10" x14ac:dyDescent="0.2">
      <c r="B168" s="10" t="s">
        <v>85</v>
      </c>
      <c r="C168" s="168">
        <f t="shared" si="15"/>
        <v>0.85482758620689658</v>
      </c>
      <c r="D168" s="168">
        <f t="shared" si="16"/>
        <v>0.64358512965631554</v>
      </c>
      <c r="F168" s="191"/>
      <c r="G168" s="191"/>
    </row>
    <row r="169" spans="1:10" x14ac:dyDescent="0.2">
      <c r="B169" s="40" t="s">
        <v>86</v>
      </c>
      <c r="C169" s="168">
        <f t="shared" si="15"/>
        <v>-2.7239507204009188E-2</v>
      </c>
      <c r="D169" s="168">
        <f t="shared" si="16"/>
        <v>1.6257708411944096E-2</v>
      </c>
      <c r="F169" s="191"/>
      <c r="G169" s="191"/>
    </row>
    <row r="170" spans="1:10" x14ac:dyDescent="0.2">
      <c r="B170" s="73" t="s">
        <v>77</v>
      </c>
      <c r="F170" s="71"/>
      <c r="G170" s="71"/>
    </row>
    <row r="171" spans="1:10" x14ac:dyDescent="0.2">
      <c r="B171" s="73"/>
      <c r="F171" s="71"/>
      <c r="G171" s="71"/>
    </row>
    <row r="172" spans="1:10" ht="15" x14ac:dyDescent="0.25">
      <c r="B172" s="411" t="s">
        <v>943</v>
      </c>
      <c r="C172" s="357"/>
      <c r="D172" s="357"/>
      <c r="E172" s="357"/>
      <c r="F172" s="357"/>
      <c r="G172" s="71"/>
    </row>
    <row r="173" spans="1:10" x14ac:dyDescent="0.2">
      <c r="B173" s="407" t="s">
        <v>642</v>
      </c>
      <c r="C173" s="407" t="s">
        <v>396</v>
      </c>
      <c r="D173" s="407" t="s">
        <v>643</v>
      </c>
      <c r="E173" s="407" t="s">
        <v>395</v>
      </c>
      <c r="F173" s="407" t="s">
        <v>644</v>
      </c>
      <c r="G173" s="71"/>
    </row>
    <row r="174" spans="1:10" x14ac:dyDescent="0.2">
      <c r="B174" s="414" t="s">
        <v>38</v>
      </c>
      <c r="C174" s="504">
        <v>29044</v>
      </c>
      <c r="D174" s="504">
        <v>187</v>
      </c>
      <c r="E174" s="504">
        <v>13288</v>
      </c>
      <c r="F174" s="504">
        <v>42519</v>
      </c>
      <c r="G174" s="71"/>
    </row>
    <row r="175" spans="1:10" x14ac:dyDescent="0.2">
      <c r="B175" s="412" t="s">
        <v>645</v>
      </c>
      <c r="C175" s="357"/>
      <c r="D175" s="357"/>
      <c r="E175" s="357"/>
      <c r="F175" s="357"/>
      <c r="G175" s="71"/>
    </row>
    <row r="176" spans="1:10" x14ac:dyDescent="0.2">
      <c r="B176" s="357"/>
      <c r="C176" s="357"/>
      <c r="D176" s="357"/>
      <c r="E176" s="357"/>
      <c r="F176" s="357"/>
      <c r="G176" s="71"/>
    </row>
    <row r="177" spans="1:9" ht="15" x14ac:dyDescent="0.25">
      <c r="B177" s="411" t="s">
        <v>698</v>
      </c>
      <c r="C177" s="357"/>
      <c r="D177" s="357"/>
      <c r="E177" s="357"/>
      <c r="F177" s="357"/>
      <c r="G177" s="71"/>
    </row>
    <row r="178" spans="1:9" x14ac:dyDescent="0.2">
      <c r="B178" s="407" t="s">
        <v>642</v>
      </c>
      <c r="C178" s="407" t="s">
        <v>647</v>
      </c>
      <c r="D178" s="407" t="s">
        <v>648</v>
      </c>
      <c r="E178" s="407" t="s">
        <v>649</v>
      </c>
      <c r="F178" s="407" t="s">
        <v>650</v>
      </c>
      <c r="G178" s="71"/>
    </row>
    <row r="179" spans="1:9" x14ac:dyDescent="0.2">
      <c r="B179" s="413" t="s">
        <v>38</v>
      </c>
      <c r="C179" s="504">
        <v>29044</v>
      </c>
      <c r="D179" s="504">
        <v>46516</v>
      </c>
      <c r="E179" s="504">
        <v>13288</v>
      </c>
      <c r="F179" s="504">
        <v>47505</v>
      </c>
      <c r="G179" s="71"/>
      <c r="H179" s="12">
        <v>0</v>
      </c>
    </row>
    <row r="180" spans="1:9" x14ac:dyDescent="0.2">
      <c r="B180" s="412" t="s">
        <v>645</v>
      </c>
      <c r="C180" s="357"/>
      <c r="D180" s="357"/>
      <c r="E180" s="357"/>
      <c r="F180" s="357"/>
      <c r="G180" s="71"/>
    </row>
    <row r="181" spans="1:9" x14ac:dyDescent="0.2">
      <c r="B181" s="387"/>
      <c r="F181" s="71"/>
      <c r="G181" s="71"/>
    </row>
    <row r="182" spans="1:9" ht="15" x14ac:dyDescent="0.25">
      <c r="B182" s="16" t="s">
        <v>699</v>
      </c>
    </row>
    <row r="183" spans="1:9" x14ac:dyDescent="0.2">
      <c r="A183" s="340"/>
      <c r="B183" s="88"/>
      <c r="C183" s="88" t="s">
        <v>86</v>
      </c>
      <c r="D183" s="88" t="s">
        <v>90</v>
      </c>
      <c r="E183" s="174" t="s">
        <v>91</v>
      </c>
      <c r="F183" s="88" t="s">
        <v>92</v>
      </c>
      <c r="G183" s="88" t="s">
        <v>93</v>
      </c>
      <c r="H183" s="88" t="s">
        <v>94</v>
      </c>
      <c r="I183" s="88" t="s">
        <v>95</v>
      </c>
    </row>
    <row r="184" spans="1:9" x14ac:dyDescent="0.2">
      <c r="B184" s="40" t="s">
        <v>41</v>
      </c>
      <c r="C184" s="40">
        <v>27800</v>
      </c>
      <c r="D184" s="40" t="s">
        <v>96</v>
      </c>
      <c r="E184" s="320"/>
      <c r="F184" s="40">
        <v>8900</v>
      </c>
      <c r="G184" s="106">
        <f>F184/C184</f>
        <v>0.32014388489208634</v>
      </c>
      <c r="H184" s="40">
        <v>18900</v>
      </c>
      <c r="I184" s="106">
        <f>H184/C184</f>
        <v>0.67985611510791366</v>
      </c>
    </row>
    <row r="185" spans="1:9" x14ac:dyDescent="0.2">
      <c r="B185" s="40" t="s">
        <v>38</v>
      </c>
      <c r="C185" s="40">
        <v>700</v>
      </c>
      <c r="D185" s="40">
        <v>80</v>
      </c>
      <c r="E185" s="320">
        <f>D185/C185</f>
        <v>0.11428571428571428</v>
      </c>
      <c r="F185" s="40">
        <v>630</v>
      </c>
      <c r="G185" s="106">
        <f>F185/C185</f>
        <v>0.9</v>
      </c>
      <c r="H185" s="40">
        <v>-10</v>
      </c>
      <c r="I185" s="106">
        <f>H185/C185</f>
        <v>-1.4285714285714285E-2</v>
      </c>
    </row>
    <row r="186" spans="1:9" x14ac:dyDescent="0.2">
      <c r="B186" s="73" t="s">
        <v>40</v>
      </c>
    </row>
    <row r="188" spans="1:9" ht="15" x14ac:dyDescent="0.25">
      <c r="A188" s="12"/>
      <c r="B188" s="16" t="s">
        <v>700</v>
      </c>
    </row>
    <row r="189" spans="1:9" x14ac:dyDescent="0.2">
      <c r="A189" s="340"/>
      <c r="B189" s="13" t="s">
        <v>37</v>
      </c>
      <c r="C189" s="13" t="s">
        <v>38</v>
      </c>
      <c r="D189" s="13" t="s">
        <v>571</v>
      </c>
    </row>
    <row r="190" spans="1:9" x14ac:dyDescent="0.2">
      <c r="A190" s="12"/>
      <c r="B190" s="10" t="s">
        <v>98</v>
      </c>
      <c r="C190" s="303">
        <v>190</v>
      </c>
      <c r="D190" s="347"/>
    </row>
    <row r="191" spans="1:9" x14ac:dyDescent="0.2">
      <c r="A191" s="12"/>
      <c r="B191" s="10" t="s">
        <v>99</v>
      </c>
      <c r="C191" s="303">
        <v>-70</v>
      </c>
      <c r="D191" s="347">
        <f>(C191-C190)/C190</f>
        <v>-1.368421052631579</v>
      </c>
    </row>
    <row r="192" spans="1:9" x14ac:dyDescent="0.2">
      <c r="A192" s="12"/>
      <c r="B192" s="10" t="s">
        <v>100</v>
      </c>
      <c r="C192" s="303">
        <v>10</v>
      </c>
      <c r="D192" s="347">
        <f t="shared" ref="D192:D207" si="17">(C192-C191)/C191</f>
        <v>-1.1428571428571428</v>
      </c>
    </row>
    <row r="193" spans="1:4" x14ac:dyDescent="0.2">
      <c r="A193" s="12"/>
      <c r="B193" s="10" t="s">
        <v>101</v>
      </c>
      <c r="C193" s="303">
        <v>-170</v>
      </c>
      <c r="D193" s="347">
        <f t="shared" si="17"/>
        <v>-18</v>
      </c>
    </row>
    <row r="194" spans="1:4" x14ac:dyDescent="0.2">
      <c r="A194" s="12"/>
      <c r="B194" s="10" t="s">
        <v>102</v>
      </c>
      <c r="C194" s="303">
        <v>-60</v>
      </c>
      <c r="D194" s="347">
        <f t="shared" si="17"/>
        <v>-0.6470588235294118</v>
      </c>
    </row>
    <row r="195" spans="1:4" x14ac:dyDescent="0.2">
      <c r="A195" s="12"/>
      <c r="B195" s="10" t="s">
        <v>103</v>
      </c>
      <c r="C195" s="303">
        <v>50</v>
      </c>
      <c r="D195" s="347">
        <f t="shared" si="17"/>
        <v>-1.8333333333333333</v>
      </c>
    </row>
    <row r="196" spans="1:4" x14ac:dyDescent="0.2">
      <c r="A196" s="12"/>
      <c r="B196" s="10" t="s">
        <v>104</v>
      </c>
      <c r="C196" s="303">
        <v>-100</v>
      </c>
      <c r="D196" s="347">
        <f t="shared" si="17"/>
        <v>-3</v>
      </c>
    </row>
    <row r="197" spans="1:4" x14ac:dyDescent="0.2">
      <c r="A197" s="12"/>
      <c r="B197" s="10" t="s">
        <v>105</v>
      </c>
      <c r="C197" s="303">
        <v>60</v>
      </c>
      <c r="D197" s="347">
        <f t="shared" si="17"/>
        <v>-1.6</v>
      </c>
    </row>
    <row r="198" spans="1:4" x14ac:dyDescent="0.2">
      <c r="A198" s="12"/>
      <c r="B198" s="10" t="s">
        <v>106</v>
      </c>
      <c r="C198" s="303">
        <v>-120</v>
      </c>
      <c r="D198" s="347">
        <f t="shared" si="17"/>
        <v>-3</v>
      </c>
    </row>
    <row r="199" spans="1:4" x14ac:dyDescent="0.2">
      <c r="A199" s="12"/>
      <c r="B199" s="10" t="s">
        <v>107</v>
      </c>
      <c r="C199" s="303">
        <v>130</v>
      </c>
      <c r="D199" s="347">
        <f t="shared" si="17"/>
        <v>-2.0833333333333335</v>
      </c>
    </row>
    <row r="200" spans="1:4" x14ac:dyDescent="0.2">
      <c r="A200" s="12"/>
      <c r="B200" s="10" t="s">
        <v>108</v>
      </c>
      <c r="C200" s="303">
        <v>180</v>
      </c>
      <c r="D200" s="347">
        <f t="shared" si="17"/>
        <v>0.38461538461538464</v>
      </c>
    </row>
    <row r="201" spans="1:4" x14ac:dyDescent="0.2">
      <c r="A201" s="12"/>
      <c r="B201" s="10" t="s">
        <v>109</v>
      </c>
      <c r="C201" s="303">
        <v>270</v>
      </c>
      <c r="D201" s="347">
        <f t="shared" si="17"/>
        <v>0.5</v>
      </c>
    </row>
    <row r="202" spans="1:4" x14ac:dyDescent="0.2">
      <c r="A202" s="12"/>
      <c r="B202" s="10" t="s">
        <v>110</v>
      </c>
      <c r="C202" s="303">
        <v>200</v>
      </c>
      <c r="D202" s="347">
        <f t="shared" si="17"/>
        <v>-0.25925925925925924</v>
      </c>
    </row>
    <row r="203" spans="1:4" x14ac:dyDescent="0.2">
      <c r="A203" s="12"/>
      <c r="B203" s="10" t="s">
        <v>111</v>
      </c>
      <c r="C203" s="303">
        <v>-60</v>
      </c>
      <c r="D203" s="347">
        <f t="shared" si="17"/>
        <v>-1.3</v>
      </c>
    </row>
    <row r="204" spans="1:4" x14ac:dyDescent="0.2">
      <c r="A204" s="12"/>
      <c r="B204" s="10" t="s">
        <v>112</v>
      </c>
      <c r="C204" s="303">
        <v>-40</v>
      </c>
      <c r="D204" s="347">
        <f t="shared" si="17"/>
        <v>-0.33333333333333331</v>
      </c>
    </row>
    <row r="205" spans="1:4" x14ac:dyDescent="0.2">
      <c r="A205" s="12"/>
      <c r="B205" s="10" t="s">
        <v>113</v>
      </c>
      <c r="C205" s="303">
        <v>-130</v>
      </c>
      <c r="D205" s="347">
        <f t="shared" si="17"/>
        <v>2.25</v>
      </c>
    </row>
    <row r="206" spans="1:4" x14ac:dyDescent="0.2">
      <c r="A206" s="12"/>
      <c r="B206" s="10" t="s">
        <v>114</v>
      </c>
      <c r="C206" s="303">
        <v>-190</v>
      </c>
      <c r="D206" s="347">
        <f t="shared" si="17"/>
        <v>0.46153846153846156</v>
      </c>
    </row>
    <row r="207" spans="1:4" x14ac:dyDescent="0.2">
      <c r="A207" s="12"/>
      <c r="B207" s="10" t="s">
        <v>115</v>
      </c>
      <c r="C207" s="303">
        <v>80</v>
      </c>
      <c r="D207" s="347">
        <f t="shared" si="17"/>
        <v>-1.4210526315789473</v>
      </c>
    </row>
    <row r="208" spans="1:4" ht="15" x14ac:dyDescent="0.25">
      <c r="A208" s="12"/>
      <c r="B208" s="511" t="s">
        <v>784</v>
      </c>
      <c r="C208" s="510">
        <f>(C207-C190)/C190</f>
        <v>-0.57894736842105265</v>
      </c>
      <c r="D208" s="347"/>
    </row>
    <row r="209" spans="1:15" x14ac:dyDescent="0.2">
      <c r="A209" s="12"/>
      <c r="B209" s="386" t="s">
        <v>116</v>
      </c>
    </row>
    <row r="210" spans="1:15" x14ac:dyDescent="0.2">
      <c r="A210" s="12"/>
      <c r="B210" s="386"/>
    </row>
    <row r="211" spans="1:15" x14ac:dyDescent="0.2">
      <c r="A211" s="12"/>
      <c r="E211" s="12"/>
    </row>
    <row r="212" spans="1:15" ht="15" x14ac:dyDescent="0.25">
      <c r="A212" s="12"/>
      <c r="B212" s="16" t="s">
        <v>701</v>
      </c>
      <c r="E212" s="12"/>
      <c r="F212" s="16" t="s">
        <v>702</v>
      </c>
      <c r="J212" s="16" t="s">
        <v>703</v>
      </c>
    </row>
    <row r="213" spans="1:15" x14ac:dyDescent="0.2">
      <c r="A213" s="340"/>
      <c r="B213" s="13" t="s">
        <v>578</v>
      </c>
      <c r="C213" s="13" t="s">
        <v>38</v>
      </c>
      <c r="D213" s="13" t="s">
        <v>41</v>
      </c>
      <c r="E213" s="340"/>
      <c r="F213" s="13" t="s">
        <v>97</v>
      </c>
      <c r="G213" s="13" t="s">
        <v>38</v>
      </c>
      <c r="H213" s="13" t="s">
        <v>41</v>
      </c>
      <c r="I213" s="340"/>
      <c r="J213" s="13" t="s">
        <v>97</v>
      </c>
      <c r="K213" s="13" t="s">
        <v>38</v>
      </c>
      <c r="L213" s="13" t="s">
        <v>41</v>
      </c>
      <c r="M213" s="449" t="s">
        <v>786</v>
      </c>
      <c r="N213" s="595" t="s">
        <v>787</v>
      </c>
      <c r="O213" s="595"/>
    </row>
    <row r="214" spans="1:15" x14ac:dyDescent="0.2">
      <c r="A214" s="12"/>
      <c r="B214" s="10" t="s">
        <v>98</v>
      </c>
      <c r="C214" s="303">
        <v>150</v>
      </c>
      <c r="D214" s="303">
        <v>3430</v>
      </c>
      <c r="E214" s="12"/>
      <c r="F214" s="10" t="s">
        <v>98</v>
      </c>
      <c r="G214" s="303">
        <v>697</v>
      </c>
      <c r="H214" s="303">
        <v>13595</v>
      </c>
      <c r="J214" s="10" t="s">
        <v>98</v>
      </c>
      <c r="K214" s="303">
        <v>133</v>
      </c>
      <c r="L214" s="303">
        <v>1597</v>
      </c>
      <c r="M214" s="448">
        <f>AVERAGE(C214:C231)</f>
        <v>94.666666666666671</v>
      </c>
      <c r="N214" s="596">
        <f>AVERAGE(G214:G231)</f>
        <v>219.38888888888889</v>
      </c>
      <c r="O214" s="596"/>
    </row>
    <row r="215" spans="1:15" x14ac:dyDescent="0.2">
      <c r="A215" s="12"/>
      <c r="B215" s="10" t="s">
        <v>99</v>
      </c>
      <c r="C215" s="303">
        <v>39</v>
      </c>
      <c r="D215" s="303">
        <v>4434</v>
      </c>
      <c r="E215" s="12"/>
      <c r="F215" s="10" t="s">
        <v>99</v>
      </c>
      <c r="G215" s="303">
        <v>549</v>
      </c>
      <c r="H215" s="303">
        <v>19931</v>
      </c>
      <c r="J215" s="10" t="s">
        <v>99</v>
      </c>
      <c r="K215" s="303">
        <v>105</v>
      </c>
      <c r="L215" s="303">
        <v>942</v>
      </c>
    </row>
    <row r="216" spans="1:15" x14ac:dyDescent="0.2">
      <c r="A216" s="12"/>
      <c r="B216" s="10" t="s">
        <v>100</v>
      </c>
      <c r="C216" s="303">
        <v>-25</v>
      </c>
      <c r="D216" s="303">
        <v>2416</v>
      </c>
      <c r="E216" s="12"/>
      <c r="F216" s="10" t="s">
        <v>100</v>
      </c>
      <c r="G216" s="303">
        <v>455</v>
      </c>
      <c r="H216" s="303">
        <v>16044</v>
      </c>
      <c r="J216" s="10" t="s">
        <v>100</v>
      </c>
      <c r="K216" s="303">
        <v>28</v>
      </c>
      <c r="L216" s="303">
        <v>362</v>
      </c>
    </row>
    <row r="217" spans="1:15" x14ac:dyDescent="0.2">
      <c r="A217" s="12"/>
      <c r="B217" s="10" t="s">
        <v>101</v>
      </c>
      <c r="C217" s="303">
        <v>86</v>
      </c>
      <c r="D217" s="303">
        <v>5380</v>
      </c>
      <c r="E217" s="12"/>
      <c r="F217" s="10" t="s">
        <v>101</v>
      </c>
      <c r="G217" s="303">
        <v>347</v>
      </c>
      <c r="H217" s="303">
        <v>26935</v>
      </c>
      <c r="J217" s="10" t="s">
        <v>101</v>
      </c>
      <c r="K217" s="303">
        <v>92</v>
      </c>
      <c r="L217" s="303">
        <v>734</v>
      </c>
      <c r="M217" s="597" t="s">
        <v>785</v>
      </c>
      <c r="N217" s="595"/>
      <c r="O217" s="595"/>
    </row>
    <row r="218" spans="1:15" x14ac:dyDescent="0.2">
      <c r="A218" s="12"/>
      <c r="B218" s="10" t="s">
        <v>102</v>
      </c>
      <c r="C218" s="303">
        <v>77</v>
      </c>
      <c r="D218" s="303">
        <v>4287</v>
      </c>
      <c r="E218" s="12"/>
      <c r="F218" s="10" t="s">
        <v>102</v>
      </c>
      <c r="G218" s="303">
        <v>155</v>
      </c>
      <c r="H218" s="303">
        <v>21574</v>
      </c>
      <c r="J218" s="10" t="s">
        <v>102</v>
      </c>
      <c r="K218" s="303">
        <v>98</v>
      </c>
      <c r="L218" s="303">
        <v>548</v>
      </c>
      <c r="M218" s="598">
        <f>(N214-M214)/M214</f>
        <v>1.317488262910798</v>
      </c>
      <c r="N218" s="599"/>
      <c r="O218" s="599"/>
    </row>
    <row r="219" spans="1:15" x14ac:dyDescent="0.2">
      <c r="A219" s="12"/>
      <c r="B219" s="10" t="s">
        <v>103</v>
      </c>
      <c r="C219" s="303">
        <v>142</v>
      </c>
      <c r="D219" s="303">
        <v>3522</v>
      </c>
      <c r="E219" s="12"/>
      <c r="F219" s="10" t="s">
        <v>103</v>
      </c>
      <c r="G219" s="303">
        <v>251</v>
      </c>
      <c r="H219" s="303">
        <v>20601</v>
      </c>
      <c r="J219" s="10" t="s">
        <v>103</v>
      </c>
      <c r="K219" s="303">
        <v>11</v>
      </c>
      <c r="L219" s="303">
        <v>299</v>
      </c>
    </row>
    <row r="220" spans="1:15" x14ac:dyDescent="0.2">
      <c r="A220" s="12"/>
      <c r="B220" s="10" t="s">
        <v>104</v>
      </c>
      <c r="C220" s="303">
        <v>-4</v>
      </c>
      <c r="D220" s="303">
        <v>2883</v>
      </c>
      <c r="E220" s="12"/>
      <c r="F220" s="10" t="s">
        <v>104</v>
      </c>
      <c r="G220" s="303">
        <v>-51</v>
      </c>
      <c r="H220" s="303">
        <v>22931</v>
      </c>
      <c r="J220" s="10" t="s">
        <v>104</v>
      </c>
      <c r="K220" s="303">
        <v>46</v>
      </c>
      <c r="L220" s="303">
        <v>261</v>
      </c>
    </row>
    <row r="221" spans="1:15" x14ac:dyDescent="0.2">
      <c r="A221" s="12"/>
      <c r="B221" s="10" t="s">
        <v>105</v>
      </c>
      <c r="C221" s="303">
        <v>-76</v>
      </c>
      <c r="D221" s="303">
        <v>3490</v>
      </c>
      <c r="E221" s="12"/>
      <c r="F221" s="10" t="s">
        <v>105</v>
      </c>
      <c r="G221" s="303">
        <v>-114</v>
      </c>
      <c r="H221" s="303">
        <v>26224</v>
      </c>
      <c r="J221" s="10" t="s">
        <v>105</v>
      </c>
      <c r="K221" s="303">
        <v>28</v>
      </c>
      <c r="L221" s="303">
        <v>495</v>
      </c>
    </row>
    <row r="222" spans="1:15" x14ac:dyDescent="0.2">
      <c r="A222" s="12"/>
      <c r="B222" s="10" t="s">
        <v>106</v>
      </c>
      <c r="C222" s="303">
        <v>180</v>
      </c>
      <c r="D222" s="303">
        <v>1637</v>
      </c>
      <c r="E222" s="12"/>
      <c r="F222" s="10" t="s">
        <v>106</v>
      </c>
      <c r="G222" s="303">
        <v>103</v>
      </c>
      <c r="H222" s="303">
        <v>11462</v>
      </c>
      <c r="J222" s="10" t="s">
        <v>106</v>
      </c>
      <c r="K222" s="303">
        <v>44</v>
      </c>
      <c r="L222" s="303">
        <v>-361</v>
      </c>
    </row>
    <row r="223" spans="1:15" x14ac:dyDescent="0.2">
      <c r="A223" s="12"/>
      <c r="B223" s="10" t="s">
        <v>107</v>
      </c>
      <c r="C223" s="303">
        <v>163</v>
      </c>
      <c r="D223" s="303">
        <v>1877</v>
      </c>
      <c r="E223" s="12"/>
      <c r="F223" s="10" t="s">
        <v>107</v>
      </c>
      <c r="G223" s="303">
        <v>402</v>
      </c>
      <c r="H223" s="303">
        <v>8267</v>
      </c>
      <c r="J223" s="10" t="s">
        <v>107</v>
      </c>
      <c r="K223" s="303">
        <v>31</v>
      </c>
      <c r="L223" s="303">
        <v>-182</v>
      </c>
    </row>
    <row r="224" spans="1:15" x14ac:dyDescent="0.2">
      <c r="A224" s="12"/>
      <c r="B224" s="10" t="s">
        <v>108</v>
      </c>
      <c r="C224" s="303">
        <v>162</v>
      </c>
      <c r="D224" s="303">
        <v>3092</v>
      </c>
      <c r="E224" s="12"/>
      <c r="F224" s="10" t="s">
        <v>108</v>
      </c>
      <c r="G224" s="303">
        <v>198</v>
      </c>
      <c r="H224" s="303">
        <v>14470</v>
      </c>
      <c r="J224" s="10" t="s">
        <v>108</v>
      </c>
      <c r="K224" s="303">
        <v>107</v>
      </c>
      <c r="L224" s="303">
        <v>23</v>
      </c>
    </row>
    <row r="225" spans="1:12" x14ac:dyDescent="0.2">
      <c r="A225" s="12"/>
      <c r="B225" s="10" t="s">
        <v>109</v>
      </c>
      <c r="C225" s="303">
        <v>126</v>
      </c>
      <c r="D225" s="303">
        <v>4093</v>
      </c>
      <c r="E225" s="12"/>
      <c r="F225" s="10" t="s">
        <v>109</v>
      </c>
      <c r="G225" s="303">
        <v>249</v>
      </c>
      <c r="H225" s="303">
        <v>23858</v>
      </c>
      <c r="J225" s="10" t="s">
        <v>109</v>
      </c>
      <c r="K225" s="303">
        <v>35</v>
      </c>
      <c r="L225" s="303">
        <v>17</v>
      </c>
    </row>
    <row r="226" spans="1:12" x14ac:dyDescent="0.2">
      <c r="A226" s="12"/>
      <c r="B226" s="10" t="s">
        <v>110</v>
      </c>
      <c r="C226" s="303">
        <v>170</v>
      </c>
      <c r="D226" s="303">
        <v>5201</v>
      </c>
      <c r="E226" s="12"/>
      <c r="F226" s="10" t="s">
        <v>110</v>
      </c>
      <c r="G226" s="303">
        <v>343</v>
      </c>
      <c r="H226" s="303">
        <v>26475</v>
      </c>
      <c r="J226" s="10" t="s">
        <v>110</v>
      </c>
      <c r="K226" s="303">
        <v>40</v>
      </c>
      <c r="L226" s="303">
        <v>17</v>
      </c>
    </row>
    <row r="227" spans="1:12" x14ac:dyDescent="0.2">
      <c r="A227" s="12"/>
      <c r="B227" s="10" t="s">
        <v>111</v>
      </c>
      <c r="C227" s="303">
        <v>74</v>
      </c>
      <c r="D227" s="303">
        <v>3775</v>
      </c>
      <c r="E227" s="12"/>
      <c r="F227" s="10" t="s">
        <v>111</v>
      </c>
      <c r="G227" s="303">
        <v>-105</v>
      </c>
      <c r="H227" s="303">
        <v>19788</v>
      </c>
      <c r="J227" s="10" t="s">
        <v>111</v>
      </c>
      <c r="K227" s="303">
        <v>34</v>
      </c>
      <c r="L227" s="303">
        <v>292</v>
      </c>
    </row>
    <row r="228" spans="1:12" x14ac:dyDescent="0.2">
      <c r="A228" s="12"/>
      <c r="B228" s="10" t="s">
        <v>112</v>
      </c>
      <c r="C228" s="303">
        <v>-1</v>
      </c>
      <c r="D228" s="303">
        <v>3298</v>
      </c>
      <c r="E228" s="12"/>
      <c r="F228" s="10" t="s">
        <v>112</v>
      </c>
      <c r="G228" s="303">
        <v>16</v>
      </c>
      <c r="H228" s="303">
        <v>17048</v>
      </c>
      <c r="J228" s="10" t="s">
        <v>112</v>
      </c>
      <c r="K228" s="303">
        <v>36</v>
      </c>
      <c r="L228" s="303">
        <v>554</v>
      </c>
    </row>
    <row r="229" spans="1:12" x14ac:dyDescent="0.2">
      <c r="B229" s="10" t="s">
        <v>113</v>
      </c>
      <c r="C229" s="303">
        <v>182</v>
      </c>
      <c r="D229" s="303">
        <v>5145</v>
      </c>
      <c r="E229" s="12"/>
      <c r="F229" s="10" t="s">
        <v>113</v>
      </c>
      <c r="G229" s="303">
        <v>93</v>
      </c>
      <c r="H229" s="303">
        <v>24399</v>
      </c>
      <c r="J229" s="10" t="s">
        <v>113</v>
      </c>
      <c r="K229" s="303">
        <v>23</v>
      </c>
      <c r="L229" s="303">
        <v>702</v>
      </c>
    </row>
    <row r="230" spans="1:12" x14ac:dyDescent="0.2">
      <c r="B230" s="10" t="s">
        <v>114</v>
      </c>
      <c r="C230" s="303">
        <v>61</v>
      </c>
      <c r="D230" s="303">
        <v>2614</v>
      </c>
      <c r="E230" s="12"/>
      <c r="F230" s="10" t="s">
        <v>114</v>
      </c>
      <c r="G230" s="303">
        <v>-120</v>
      </c>
      <c r="H230" s="303">
        <v>13928</v>
      </c>
      <c r="J230" s="10" t="s">
        <v>114</v>
      </c>
      <c r="K230" s="303">
        <v>79</v>
      </c>
      <c r="L230" s="303">
        <v>340</v>
      </c>
    </row>
    <row r="231" spans="1:12" x14ac:dyDescent="0.2">
      <c r="B231" s="10" t="s">
        <v>115</v>
      </c>
      <c r="C231" s="303">
        <v>198</v>
      </c>
      <c r="D231" s="303">
        <v>5166</v>
      </c>
      <c r="E231" s="12"/>
      <c r="F231" s="10" t="s">
        <v>115</v>
      </c>
      <c r="G231" s="303">
        <v>481</v>
      </c>
      <c r="H231" s="303">
        <v>21236</v>
      </c>
      <c r="J231" s="10" t="s">
        <v>115</v>
      </c>
      <c r="K231" s="303">
        <v>18</v>
      </c>
      <c r="L231" s="303">
        <v>1372</v>
      </c>
    </row>
    <row r="232" spans="1:12" x14ac:dyDescent="0.2">
      <c r="B232" s="386" t="s">
        <v>116</v>
      </c>
      <c r="E232" s="12"/>
      <c r="F232" s="386" t="s">
        <v>116</v>
      </c>
      <c r="J232" s="386" t="s">
        <v>116</v>
      </c>
    </row>
    <row r="234" spans="1:12" ht="15" x14ac:dyDescent="0.25">
      <c r="B234" s="16" t="s">
        <v>794</v>
      </c>
    </row>
    <row r="235" spans="1:12" x14ac:dyDescent="0.2">
      <c r="A235" s="340"/>
      <c r="C235" s="38" t="s">
        <v>119</v>
      </c>
      <c r="D235" s="38" t="s">
        <v>120</v>
      </c>
      <c r="E235" s="117" t="s">
        <v>121</v>
      </c>
      <c r="F235" s="38" t="s">
        <v>122</v>
      </c>
      <c r="G235" s="38" t="s">
        <v>123</v>
      </c>
      <c r="H235" s="38" t="s">
        <v>124</v>
      </c>
      <c r="I235" s="38" t="s">
        <v>125</v>
      </c>
    </row>
    <row r="236" spans="1:12" x14ac:dyDescent="0.2">
      <c r="B236" s="10" t="s">
        <v>126</v>
      </c>
      <c r="C236" s="74">
        <v>95520</v>
      </c>
      <c r="D236" s="74">
        <v>16173</v>
      </c>
      <c r="E236" s="321">
        <v>9385</v>
      </c>
      <c r="F236" s="74">
        <v>21989</v>
      </c>
      <c r="G236" s="74">
        <v>27550</v>
      </c>
      <c r="H236" s="74">
        <v>11239</v>
      </c>
      <c r="I236" s="74">
        <v>9184</v>
      </c>
    </row>
    <row r="237" spans="1:12" x14ac:dyDescent="0.2">
      <c r="B237" s="10" t="s">
        <v>127</v>
      </c>
      <c r="C237" s="74">
        <v>95409</v>
      </c>
      <c r="D237" s="74">
        <v>13895</v>
      </c>
      <c r="E237" s="321">
        <v>8887</v>
      </c>
      <c r="F237" s="74">
        <v>22221</v>
      </c>
      <c r="G237" s="74">
        <v>25444</v>
      </c>
      <c r="H237" s="74">
        <v>12800</v>
      </c>
      <c r="I237" s="74">
        <v>12162</v>
      </c>
    </row>
    <row r="238" spans="1:12" x14ac:dyDescent="0.2">
      <c r="B238" s="10" t="s">
        <v>128</v>
      </c>
      <c r="C238" s="74">
        <v>93909</v>
      </c>
      <c r="D238" s="74">
        <v>12812</v>
      </c>
      <c r="E238" s="321">
        <v>7575</v>
      </c>
      <c r="F238" s="74">
        <v>21092</v>
      </c>
      <c r="G238" s="74">
        <v>23439</v>
      </c>
      <c r="H238" s="74">
        <v>13775</v>
      </c>
      <c r="I238" s="74">
        <v>15216</v>
      </c>
    </row>
    <row r="239" spans="1:12" x14ac:dyDescent="0.2">
      <c r="B239" s="10" t="s">
        <v>129</v>
      </c>
      <c r="C239" s="74">
        <v>92966</v>
      </c>
      <c r="D239" s="74">
        <v>12579</v>
      </c>
      <c r="E239" s="321">
        <v>7202</v>
      </c>
      <c r="F239" s="74">
        <v>20154</v>
      </c>
      <c r="G239" s="74">
        <v>24030</v>
      </c>
      <c r="H239" s="74">
        <v>12106</v>
      </c>
      <c r="I239" s="74">
        <v>16895</v>
      </c>
    </row>
    <row r="240" spans="1:12" x14ac:dyDescent="0.2">
      <c r="B240" s="304" t="s">
        <v>130</v>
      </c>
      <c r="C240" s="139">
        <f>(C237/C236)-100%</f>
        <v>-1.1620603015075615E-3</v>
      </c>
      <c r="D240" s="139">
        <f t="shared" ref="D240:I240" si="18">(D237/D236)-100%</f>
        <v>-0.14085203734619423</v>
      </c>
      <c r="E240" s="322">
        <f t="shared" si="18"/>
        <v>-5.3063399041022863E-2</v>
      </c>
      <c r="F240" s="139">
        <f t="shared" si="18"/>
        <v>1.0550729910409729E-2</v>
      </c>
      <c r="G240" s="139">
        <f t="shared" si="18"/>
        <v>-7.6442831215970952E-2</v>
      </c>
      <c r="H240" s="139">
        <f>(H237/H236)-100%</f>
        <v>0.13889136044132044</v>
      </c>
      <c r="I240" s="139">
        <f t="shared" si="18"/>
        <v>0.32425958188153303</v>
      </c>
    </row>
    <row r="241" spans="2:13" x14ac:dyDescent="0.2">
      <c r="B241" s="304" t="s">
        <v>131</v>
      </c>
      <c r="C241" s="139">
        <f>(C238-C236)/C236</f>
        <v>-1.6865577889447238E-2</v>
      </c>
      <c r="D241" s="139">
        <f>(D238-D236)/D236</f>
        <v>-0.20781549496073703</v>
      </c>
      <c r="E241" s="322">
        <f t="shared" ref="E241:I241" si="19">(E238-E236)/E236</f>
        <v>-0.1928609483217901</v>
      </c>
      <c r="F241" s="139">
        <f t="shared" si="19"/>
        <v>-4.0793123834644597E-2</v>
      </c>
      <c r="G241" s="139">
        <f t="shared" si="19"/>
        <v>-0.14921960072595281</v>
      </c>
      <c r="H241" s="139">
        <f>(H238-H236)/H236</f>
        <v>0.22564285078743659</v>
      </c>
      <c r="I241" s="139">
        <f t="shared" si="19"/>
        <v>0.65679442508710806</v>
      </c>
    </row>
    <row r="242" spans="2:13" x14ac:dyDescent="0.2">
      <c r="B242" s="304" t="s">
        <v>132</v>
      </c>
      <c r="C242" s="139">
        <f>(C239-C236)/C236</f>
        <v>-2.6737855946398659E-2</v>
      </c>
      <c r="D242" s="139">
        <f>(D239-D236)/D236</f>
        <v>-0.22222222222222221</v>
      </c>
      <c r="E242" s="322">
        <f t="shared" ref="E242:I242" si="20">(E239-E236)/E236</f>
        <v>-0.23260522109749601</v>
      </c>
      <c r="F242" s="139">
        <f t="shared" si="20"/>
        <v>-8.3450816317249529E-2</v>
      </c>
      <c r="G242" s="139">
        <f t="shared" si="20"/>
        <v>-0.1277676950998185</v>
      </c>
      <c r="H242" s="139">
        <f>(H239-H236)/H236</f>
        <v>7.7142094492392566E-2</v>
      </c>
      <c r="I242" s="139">
        <f t="shared" si="20"/>
        <v>0.83961236933797911</v>
      </c>
      <c r="K242" s="138"/>
      <c r="L242" s="138"/>
      <c r="M242" s="138"/>
    </row>
    <row r="243" spans="2:13" x14ac:dyDescent="0.2">
      <c r="B243" s="10" t="s">
        <v>579</v>
      </c>
      <c r="C243" s="74">
        <v>5438100</v>
      </c>
      <c r="D243" s="74">
        <v>919502</v>
      </c>
      <c r="E243" s="321">
        <v>581427</v>
      </c>
      <c r="F243" s="74">
        <v>1409117</v>
      </c>
      <c r="G243" s="74">
        <v>1501940</v>
      </c>
      <c r="H243" s="74">
        <v>571378</v>
      </c>
      <c r="I243" s="74">
        <v>454736</v>
      </c>
      <c r="K243" s="138"/>
      <c r="L243" s="138"/>
      <c r="M243" s="138"/>
    </row>
    <row r="244" spans="2:13" x14ac:dyDescent="0.2">
      <c r="B244" s="10" t="s">
        <v>580</v>
      </c>
      <c r="C244" s="74">
        <v>5537116</v>
      </c>
      <c r="D244" s="74">
        <v>864347</v>
      </c>
      <c r="E244" s="321">
        <v>576330</v>
      </c>
      <c r="F244" s="74">
        <v>1453075</v>
      </c>
      <c r="G244" s="74">
        <v>1419284</v>
      </c>
      <c r="H244" s="74">
        <v>653777</v>
      </c>
      <c r="I244" s="74">
        <v>570303</v>
      </c>
      <c r="K244" s="138"/>
      <c r="L244" s="138"/>
      <c r="M244" s="138"/>
    </row>
    <row r="245" spans="2:13" x14ac:dyDescent="0.2">
      <c r="B245" s="10" t="s">
        <v>581</v>
      </c>
      <c r="C245" s="74">
        <v>5573181</v>
      </c>
      <c r="D245" s="74">
        <v>825493</v>
      </c>
      <c r="E245" s="321">
        <v>542424</v>
      </c>
      <c r="F245" s="74">
        <v>1402968</v>
      </c>
      <c r="G245" s="74">
        <v>1408111</v>
      </c>
      <c r="H245" s="74">
        <v>691360</v>
      </c>
      <c r="I245" s="74">
        <v>702825</v>
      </c>
      <c r="K245" s="138"/>
      <c r="L245" s="138"/>
      <c r="M245" s="138"/>
    </row>
    <row r="246" spans="2:13" x14ac:dyDescent="0.2">
      <c r="B246" s="10" t="s">
        <v>582</v>
      </c>
      <c r="C246" s="74">
        <v>5574819</v>
      </c>
      <c r="D246" s="74">
        <v>823165</v>
      </c>
      <c r="E246" s="321">
        <v>519808</v>
      </c>
      <c r="F246" s="74">
        <v>1376822</v>
      </c>
      <c r="G246" s="74">
        <v>1464371</v>
      </c>
      <c r="H246" s="74">
        <v>615082</v>
      </c>
      <c r="I246" s="74">
        <v>775571</v>
      </c>
      <c r="K246" s="138"/>
      <c r="L246" s="138"/>
      <c r="M246" s="138"/>
    </row>
    <row r="247" spans="2:13" x14ac:dyDescent="0.2">
      <c r="B247" s="304" t="s">
        <v>583</v>
      </c>
      <c r="C247" s="139">
        <f>(C244/C243)-100%</f>
        <v>1.8207829940604325E-2</v>
      </c>
      <c r="D247" s="139">
        <f t="shared" ref="D247:G247" si="21">(D244/D243)-100%</f>
        <v>-5.9983556316353881E-2</v>
      </c>
      <c r="E247" s="322">
        <f t="shared" si="21"/>
        <v>-8.766362759211388E-3</v>
      </c>
      <c r="F247" s="139">
        <f t="shared" si="21"/>
        <v>3.1195422381534055E-2</v>
      </c>
      <c r="G247" s="139">
        <f t="shared" si="21"/>
        <v>-5.5032824214016562E-2</v>
      </c>
      <c r="H247" s="139">
        <f>(H244/H243)-100%</f>
        <v>0.14421101267462166</v>
      </c>
      <c r="I247" s="139">
        <f t="shared" ref="I247" si="22">(I244/I243)-100%</f>
        <v>0.25414086414974846</v>
      </c>
      <c r="K247" s="138"/>
      <c r="L247" s="138"/>
      <c r="M247" s="138"/>
    </row>
    <row r="248" spans="2:13" x14ac:dyDescent="0.2">
      <c r="B248" s="304" t="s">
        <v>584</v>
      </c>
      <c r="C248" s="139">
        <f>(C245-C243)/C243</f>
        <v>2.4839741821592102E-2</v>
      </c>
      <c r="D248" s="139">
        <f>(D245-D243)/D243</f>
        <v>-0.10223903808800851</v>
      </c>
      <c r="E248" s="322">
        <f t="shared" ref="E248:G248" si="23">(E245-E243)/E243</f>
        <v>-6.7081508082699984E-2</v>
      </c>
      <c r="F248" s="139">
        <f t="shared" si="23"/>
        <v>-4.3637256523056641E-3</v>
      </c>
      <c r="G248" s="139">
        <f t="shared" si="23"/>
        <v>-6.2471869715168382E-2</v>
      </c>
      <c r="H248" s="139">
        <f>(H245-H243)/H243</f>
        <v>0.20998708385692133</v>
      </c>
      <c r="I248" s="139">
        <f t="shared" ref="I248" si="24">(I245-I243)/I243</f>
        <v>0.54556709827240424</v>
      </c>
      <c r="K248" s="138"/>
      <c r="L248" s="138"/>
      <c r="M248" s="138"/>
    </row>
    <row r="249" spans="2:13" x14ac:dyDescent="0.2">
      <c r="B249" s="304" t="s">
        <v>585</v>
      </c>
      <c r="C249" s="139">
        <f>(C246-C243)/C243</f>
        <v>2.5140949964141887E-2</v>
      </c>
      <c r="D249" s="139">
        <f>(D246-D243)/D243</f>
        <v>-0.10477084334781218</v>
      </c>
      <c r="E249" s="322">
        <f t="shared" ref="E249:G249" si="25">(E246-E243)/E243</f>
        <v>-0.10597891050811194</v>
      </c>
      <c r="F249" s="139">
        <f t="shared" si="25"/>
        <v>-2.2918607894163508E-2</v>
      </c>
      <c r="G249" s="139">
        <f t="shared" si="25"/>
        <v>-2.5013649013941968E-2</v>
      </c>
      <c r="H249" s="139">
        <f>(H246-H243)/H243</f>
        <v>7.648876925607917E-2</v>
      </c>
      <c r="I249" s="139">
        <f t="shared" ref="I249" si="26">(I246-I243)/I243</f>
        <v>0.70554123711340211</v>
      </c>
      <c r="K249" s="138"/>
      <c r="L249" s="138"/>
      <c r="M249" s="138"/>
    </row>
    <row r="250" spans="2:13" x14ac:dyDescent="0.2">
      <c r="B250" s="387" t="s">
        <v>133</v>
      </c>
    </row>
    <row r="251" spans="2:13" x14ac:dyDescent="0.2">
      <c r="B251" s="387"/>
    </row>
    <row r="252" spans="2:13" ht="15" x14ac:dyDescent="0.25">
      <c r="B252" s="16" t="s">
        <v>704</v>
      </c>
    </row>
    <row r="253" spans="2:13" x14ac:dyDescent="0.2">
      <c r="B253" s="38" t="s">
        <v>578</v>
      </c>
      <c r="C253" s="38" t="s">
        <v>38</v>
      </c>
      <c r="D253" s="38" t="s">
        <v>41</v>
      </c>
      <c r="E253" s="38" t="s">
        <v>586</v>
      </c>
      <c r="F253" s="38" t="s">
        <v>587</v>
      </c>
    </row>
    <row r="254" spans="2:13" x14ac:dyDescent="0.2">
      <c r="B254" s="10">
        <v>2018</v>
      </c>
      <c r="C254" s="74">
        <v>95520</v>
      </c>
      <c r="D254" s="74">
        <v>5438100</v>
      </c>
      <c r="E254" s="74"/>
      <c r="F254" s="74"/>
    </row>
    <row r="255" spans="2:13" x14ac:dyDescent="0.2">
      <c r="B255" s="10">
        <v>2028</v>
      </c>
      <c r="C255" s="74">
        <v>95409</v>
      </c>
      <c r="D255" s="74">
        <v>5537116</v>
      </c>
      <c r="E255" s="341">
        <f>(C255-C254)/C254</f>
        <v>-1.1620603015075376E-3</v>
      </c>
      <c r="F255" s="341">
        <f>(D255-D254)/D254</f>
        <v>1.8207829940604256E-2</v>
      </c>
    </row>
    <row r="256" spans="2:13" x14ac:dyDescent="0.2">
      <c r="B256" s="10">
        <v>2038</v>
      </c>
      <c r="C256" s="74">
        <v>93909</v>
      </c>
      <c r="D256" s="74">
        <v>5573181</v>
      </c>
      <c r="E256" s="341">
        <f t="shared" ref="E256:E257" si="27">(C256-C255)/C255</f>
        <v>-1.5721787252774896E-2</v>
      </c>
      <c r="F256" s="341">
        <f t="shared" ref="F256:F257" si="28">(D256-D255)/D255</f>
        <v>6.5133184856520972E-3</v>
      </c>
    </row>
    <row r="257" spans="2:6" x14ac:dyDescent="0.2">
      <c r="B257" s="10">
        <v>2043</v>
      </c>
      <c r="C257" s="74">
        <v>92966</v>
      </c>
      <c r="D257" s="74">
        <v>5574819</v>
      </c>
      <c r="E257" s="341">
        <f t="shared" si="27"/>
        <v>-1.0041636051922606E-2</v>
      </c>
      <c r="F257" s="341">
        <f t="shared" si="28"/>
        <v>2.9390755476988817E-4</v>
      </c>
    </row>
    <row r="258" spans="2:6" x14ac:dyDescent="0.2">
      <c r="B258" s="387" t="s">
        <v>133</v>
      </c>
    </row>
    <row r="259" spans="2:6" x14ac:dyDescent="0.2">
      <c r="B259" s="387"/>
    </row>
    <row r="260" spans="2:6" x14ac:dyDescent="0.2">
      <c r="B260" s="387"/>
    </row>
    <row r="261" spans="2:6" ht="15" x14ac:dyDescent="0.25">
      <c r="B261" s="346"/>
      <c r="C261" s="352"/>
      <c r="D261" s="340"/>
    </row>
    <row r="262" spans="2:6" ht="15" x14ac:dyDescent="0.25">
      <c r="B262" s="346" t="s">
        <v>705</v>
      </c>
      <c r="C262" s="340"/>
      <c r="D262" s="340"/>
    </row>
    <row r="263" spans="2:6" x14ac:dyDescent="0.2">
      <c r="B263" s="13" t="s">
        <v>578</v>
      </c>
      <c r="C263" s="13" t="s">
        <v>38</v>
      </c>
      <c r="D263" s="13" t="s">
        <v>41</v>
      </c>
      <c r="E263" s="13" t="s">
        <v>590</v>
      </c>
      <c r="F263" s="13" t="s">
        <v>591</v>
      </c>
    </row>
    <row r="264" spans="2:6" x14ac:dyDescent="0.2">
      <c r="B264" s="303" t="s">
        <v>135</v>
      </c>
      <c r="C264" s="74">
        <v>95520</v>
      </c>
      <c r="D264" s="74">
        <v>5438100</v>
      </c>
      <c r="E264" s="349"/>
      <c r="F264" s="349"/>
    </row>
    <row r="265" spans="2:6" x14ac:dyDescent="0.2">
      <c r="B265" s="303" t="s">
        <v>136</v>
      </c>
      <c r="C265" s="74">
        <v>95669</v>
      </c>
      <c r="D265" s="74">
        <v>5452444</v>
      </c>
      <c r="E265" s="74">
        <f>C265-C264</f>
        <v>149</v>
      </c>
      <c r="F265" s="74">
        <f>D265-D264</f>
        <v>14344</v>
      </c>
    </row>
    <row r="266" spans="2:6" x14ac:dyDescent="0.2">
      <c r="B266" s="303" t="s">
        <v>137</v>
      </c>
      <c r="C266" s="74">
        <v>95746</v>
      </c>
      <c r="D266" s="74">
        <v>5464679</v>
      </c>
      <c r="E266" s="74">
        <f t="shared" ref="E266:E289" si="29">C266-C265</f>
        <v>77</v>
      </c>
      <c r="F266" s="74">
        <f t="shared" ref="F266:F289" si="30">D266-D265</f>
        <v>12235</v>
      </c>
    </row>
    <row r="267" spans="2:6" x14ac:dyDescent="0.2">
      <c r="B267" s="303" t="s">
        <v>138</v>
      </c>
      <c r="C267" s="74">
        <v>95792</v>
      </c>
      <c r="D267" s="74">
        <v>5475660</v>
      </c>
      <c r="E267" s="74">
        <f t="shared" si="29"/>
        <v>46</v>
      </c>
      <c r="F267" s="74">
        <f t="shared" si="30"/>
        <v>10981</v>
      </c>
    </row>
    <row r="268" spans="2:6" x14ac:dyDescent="0.2">
      <c r="B268" s="303" t="s">
        <v>139</v>
      </c>
      <c r="C268" s="74">
        <v>95780</v>
      </c>
      <c r="D268" s="74">
        <v>5485890</v>
      </c>
      <c r="E268" s="74">
        <f t="shared" si="29"/>
        <v>-12</v>
      </c>
      <c r="F268" s="74">
        <f t="shared" si="30"/>
        <v>10230</v>
      </c>
    </row>
    <row r="269" spans="2:6" x14ac:dyDescent="0.2">
      <c r="B269" s="303" t="s">
        <v>140</v>
      </c>
      <c r="C269" s="74">
        <v>95749</v>
      </c>
      <c r="D269" s="74">
        <v>5495578</v>
      </c>
      <c r="E269" s="74">
        <f t="shared" si="29"/>
        <v>-31</v>
      </c>
      <c r="F269" s="74">
        <f t="shared" si="30"/>
        <v>9688</v>
      </c>
    </row>
    <row r="270" spans="2:6" x14ac:dyDescent="0.2">
      <c r="B270" s="303" t="s">
        <v>141</v>
      </c>
      <c r="C270" s="74">
        <v>95732</v>
      </c>
      <c r="D270" s="74">
        <v>5504866</v>
      </c>
      <c r="E270" s="74">
        <f t="shared" si="29"/>
        <v>-17</v>
      </c>
      <c r="F270" s="74">
        <f t="shared" si="30"/>
        <v>9288</v>
      </c>
    </row>
    <row r="271" spans="2:6" x14ac:dyDescent="0.2">
      <c r="B271" s="303" t="s">
        <v>142</v>
      </c>
      <c r="C271" s="74">
        <v>95662</v>
      </c>
      <c r="D271" s="74">
        <v>5513731</v>
      </c>
      <c r="E271" s="74">
        <f t="shared" si="29"/>
        <v>-70</v>
      </c>
      <c r="F271" s="74">
        <f t="shared" si="30"/>
        <v>8865</v>
      </c>
    </row>
    <row r="272" spans="2:6" x14ac:dyDescent="0.2">
      <c r="B272" s="303" t="s">
        <v>143</v>
      </c>
      <c r="C272" s="74">
        <v>95602</v>
      </c>
      <c r="D272" s="74">
        <v>5522085</v>
      </c>
      <c r="E272" s="74">
        <f t="shared" si="29"/>
        <v>-60</v>
      </c>
      <c r="F272" s="74">
        <f t="shared" si="30"/>
        <v>8354</v>
      </c>
    </row>
    <row r="273" spans="2:6" x14ac:dyDescent="0.2">
      <c r="B273" s="303" t="s">
        <v>144</v>
      </c>
      <c r="C273" s="74">
        <v>95511</v>
      </c>
      <c r="D273" s="74">
        <v>5529888</v>
      </c>
      <c r="E273" s="74">
        <f t="shared" si="29"/>
        <v>-91</v>
      </c>
      <c r="F273" s="74">
        <f t="shared" si="30"/>
        <v>7803</v>
      </c>
    </row>
    <row r="274" spans="2:6" x14ac:dyDescent="0.2">
      <c r="B274" s="303" t="s">
        <v>145</v>
      </c>
      <c r="C274" s="74">
        <v>95409</v>
      </c>
      <c r="D274" s="74">
        <v>5537116</v>
      </c>
      <c r="E274" s="74">
        <f t="shared" si="29"/>
        <v>-102</v>
      </c>
      <c r="F274" s="74">
        <f t="shared" si="30"/>
        <v>7228</v>
      </c>
    </row>
    <row r="275" spans="2:6" x14ac:dyDescent="0.2">
      <c r="B275" s="303" t="s">
        <v>146</v>
      </c>
      <c r="C275" s="74">
        <v>95302</v>
      </c>
      <c r="D275" s="74">
        <v>5543666</v>
      </c>
      <c r="E275" s="74">
        <f t="shared" si="29"/>
        <v>-107</v>
      </c>
      <c r="F275" s="74">
        <f t="shared" si="30"/>
        <v>6550</v>
      </c>
    </row>
    <row r="276" spans="2:6" x14ac:dyDescent="0.2">
      <c r="B276" s="303" t="s">
        <v>147</v>
      </c>
      <c r="C276" s="74">
        <v>95170</v>
      </c>
      <c r="D276" s="74">
        <v>5549510</v>
      </c>
      <c r="E276" s="74">
        <f t="shared" si="29"/>
        <v>-132</v>
      </c>
      <c r="F276" s="74">
        <f t="shared" si="30"/>
        <v>5844</v>
      </c>
    </row>
    <row r="277" spans="2:6" x14ac:dyDescent="0.2">
      <c r="B277" s="303" t="s">
        <v>148</v>
      </c>
      <c r="C277" s="74">
        <v>95012</v>
      </c>
      <c r="D277" s="74">
        <v>5554680</v>
      </c>
      <c r="E277" s="74">
        <f t="shared" si="29"/>
        <v>-158</v>
      </c>
      <c r="F277" s="74">
        <f t="shared" si="30"/>
        <v>5170</v>
      </c>
    </row>
    <row r="278" spans="2:6" x14ac:dyDescent="0.2">
      <c r="B278" s="303" t="s">
        <v>149</v>
      </c>
      <c r="C278" s="74">
        <v>94875</v>
      </c>
      <c r="D278" s="74">
        <v>5559154</v>
      </c>
      <c r="E278" s="74">
        <f t="shared" si="29"/>
        <v>-137</v>
      </c>
      <c r="F278" s="74">
        <f t="shared" si="30"/>
        <v>4474</v>
      </c>
    </row>
    <row r="279" spans="2:6" x14ac:dyDescent="0.2">
      <c r="B279" s="303" t="s">
        <v>150</v>
      </c>
      <c r="C279" s="74">
        <v>94715</v>
      </c>
      <c r="D279" s="74">
        <v>5562901</v>
      </c>
      <c r="E279" s="74">
        <f t="shared" si="29"/>
        <v>-160</v>
      </c>
      <c r="F279" s="74">
        <f t="shared" si="30"/>
        <v>3747</v>
      </c>
    </row>
    <row r="280" spans="2:6" x14ac:dyDescent="0.2">
      <c r="B280" s="303" t="s">
        <v>151</v>
      </c>
      <c r="C280" s="74">
        <v>94556</v>
      </c>
      <c r="D280" s="74">
        <v>5565969</v>
      </c>
      <c r="E280" s="74">
        <f t="shared" si="29"/>
        <v>-159</v>
      </c>
      <c r="F280" s="74">
        <f t="shared" si="30"/>
        <v>3068</v>
      </c>
    </row>
    <row r="281" spans="2:6" x14ac:dyDescent="0.2">
      <c r="B281" s="303" t="s">
        <v>152</v>
      </c>
      <c r="C281" s="74">
        <v>94390</v>
      </c>
      <c r="D281" s="74">
        <v>5568456</v>
      </c>
      <c r="E281" s="74">
        <f t="shared" si="29"/>
        <v>-166</v>
      </c>
      <c r="F281" s="74">
        <f t="shared" si="30"/>
        <v>2487</v>
      </c>
    </row>
    <row r="282" spans="2:6" x14ac:dyDescent="0.2">
      <c r="B282" s="303" t="s">
        <v>153</v>
      </c>
      <c r="C282" s="74">
        <v>94223</v>
      </c>
      <c r="D282" s="74">
        <v>5570442</v>
      </c>
      <c r="E282" s="74">
        <f t="shared" si="29"/>
        <v>-167</v>
      </c>
      <c r="F282" s="74">
        <f t="shared" si="30"/>
        <v>1986</v>
      </c>
    </row>
    <row r="283" spans="2:6" x14ac:dyDescent="0.2">
      <c r="B283" s="303" t="s">
        <v>154</v>
      </c>
      <c r="C283" s="74">
        <v>94073</v>
      </c>
      <c r="D283" s="74">
        <v>5571993</v>
      </c>
      <c r="E283" s="74">
        <f t="shared" si="29"/>
        <v>-150</v>
      </c>
      <c r="F283" s="74">
        <f t="shared" si="30"/>
        <v>1551</v>
      </c>
    </row>
    <row r="284" spans="2:6" x14ac:dyDescent="0.2">
      <c r="B284" s="303" t="s">
        <v>155</v>
      </c>
      <c r="C284" s="74">
        <v>93909</v>
      </c>
      <c r="D284" s="74">
        <v>5573181</v>
      </c>
      <c r="E284" s="74">
        <f t="shared" si="29"/>
        <v>-164</v>
      </c>
      <c r="F284" s="74">
        <f t="shared" si="30"/>
        <v>1188</v>
      </c>
    </row>
    <row r="285" spans="2:6" x14ac:dyDescent="0.2">
      <c r="B285" s="303" t="s">
        <v>156</v>
      </c>
      <c r="C285" s="74">
        <v>93752</v>
      </c>
      <c r="D285" s="74">
        <v>5574058</v>
      </c>
      <c r="E285" s="74">
        <f t="shared" si="29"/>
        <v>-157</v>
      </c>
      <c r="F285" s="74">
        <f t="shared" si="30"/>
        <v>877</v>
      </c>
    </row>
    <row r="286" spans="2:6" x14ac:dyDescent="0.2">
      <c r="B286" s="303" t="s">
        <v>157</v>
      </c>
      <c r="C286" s="74">
        <v>93560</v>
      </c>
      <c r="D286" s="74">
        <v>5574675</v>
      </c>
      <c r="E286" s="74">
        <f t="shared" si="29"/>
        <v>-192</v>
      </c>
      <c r="F286" s="74">
        <f t="shared" si="30"/>
        <v>617</v>
      </c>
    </row>
    <row r="287" spans="2:6" x14ac:dyDescent="0.2">
      <c r="B287" s="303" t="s">
        <v>158</v>
      </c>
      <c r="C287" s="74">
        <v>93358</v>
      </c>
      <c r="D287" s="74">
        <v>5575012</v>
      </c>
      <c r="E287" s="74">
        <f t="shared" si="29"/>
        <v>-202</v>
      </c>
      <c r="F287" s="74">
        <f t="shared" si="30"/>
        <v>337</v>
      </c>
    </row>
    <row r="288" spans="2:6" x14ac:dyDescent="0.2">
      <c r="B288" s="303" t="s">
        <v>159</v>
      </c>
      <c r="C288" s="74">
        <v>93171</v>
      </c>
      <c r="D288" s="74">
        <v>5575078</v>
      </c>
      <c r="E288" s="74">
        <f t="shared" si="29"/>
        <v>-187</v>
      </c>
      <c r="F288" s="74">
        <f t="shared" si="30"/>
        <v>66</v>
      </c>
    </row>
    <row r="289" spans="2:6" x14ac:dyDescent="0.2">
      <c r="B289" s="303" t="s">
        <v>160</v>
      </c>
      <c r="C289" s="74">
        <v>92966</v>
      </c>
      <c r="D289" s="74">
        <v>5574819</v>
      </c>
      <c r="E289" s="74">
        <f t="shared" si="29"/>
        <v>-205</v>
      </c>
      <c r="F289" s="74">
        <f t="shared" si="30"/>
        <v>-259</v>
      </c>
    </row>
    <row r="290" spans="2:6" ht="28.5" x14ac:dyDescent="0.2">
      <c r="B290" s="509" t="s">
        <v>589</v>
      </c>
      <c r="C290" s="343">
        <f>AVERAGE(E265:E274)</f>
        <v>-11.1</v>
      </c>
      <c r="D290" s="343">
        <f>AVERAGE(F265:F274)</f>
        <v>9901.6</v>
      </c>
      <c r="E290" s="12"/>
    </row>
    <row r="291" spans="2:6" ht="28.5" x14ac:dyDescent="0.2">
      <c r="B291" s="509" t="s">
        <v>789</v>
      </c>
      <c r="C291" s="343">
        <f>AVERAGE(E265:E289)</f>
        <v>-102.16</v>
      </c>
      <c r="D291" s="343">
        <f>AVERAGE(F265:F289)</f>
        <v>5468.76</v>
      </c>
      <c r="E291" s="12"/>
    </row>
    <row r="292" spans="2:6" x14ac:dyDescent="0.2">
      <c r="B292" s="350" t="s">
        <v>161</v>
      </c>
      <c r="C292" s="335">
        <f>SUM(E265:E274)</f>
        <v>-111</v>
      </c>
      <c r="D292" s="335">
        <f>SUM(F265:F274)</f>
        <v>99016</v>
      </c>
      <c r="E292" s="12"/>
    </row>
    <row r="293" spans="2:6" x14ac:dyDescent="0.2">
      <c r="B293" s="350" t="s">
        <v>162</v>
      </c>
      <c r="C293" s="335">
        <f>SUM(E265:E289)</f>
        <v>-2554</v>
      </c>
      <c r="D293" s="335">
        <f>SUM(F265:F289)</f>
        <v>136719</v>
      </c>
      <c r="E293" s="12"/>
    </row>
    <row r="294" spans="2:6" x14ac:dyDescent="0.2">
      <c r="B294" s="388" t="s">
        <v>133</v>
      </c>
    </row>
    <row r="295" spans="2:6" x14ac:dyDescent="0.2">
      <c r="B295" s="388"/>
    </row>
    <row r="296" spans="2:6" ht="15" x14ac:dyDescent="0.25">
      <c r="B296" s="346" t="s">
        <v>706</v>
      </c>
    </row>
    <row r="297" spans="2:6" ht="28.5" x14ac:dyDescent="0.2">
      <c r="B297" s="302" t="s">
        <v>578</v>
      </c>
      <c r="C297" s="302" t="s">
        <v>592</v>
      </c>
      <c r="D297" s="302" t="s">
        <v>593</v>
      </c>
    </row>
    <row r="298" spans="2:6" x14ac:dyDescent="0.2">
      <c r="B298" s="303" t="s">
        <v>135</v>
      </c>
      <c r="C298" s="348"/>
      <c r="D298" s="348"/>
    </row>
    <row r="299" spans="2:6" x14ac:dyDescent="0.2">
      <c r="B299" s="303" t="s">
        <v>136</v>
      </c>
      <c r="C299" s="334">
        <f t="shared" ref="C299:D323" si="31">(C265-C264)/C264</f>
        <v>1.5598827470686767E-3</v>
      </c>
      <c r="D299" s="334">
        <f t="shared" si="31"/>
        <v>2.637685956492157E-3</v>
      </c>
    </row>
    <row r="300" spans="2:6" x14ac:dyDescent="0.2">
      <c r="B300" s="303" t="s">
        <v>137</v>
      </c>
      <c r="C300" s="334">
        <f t="shared" si="31"/>
        <v>8.0485841808736376E-4</v>
      </c>
      <c r="D300" s="334">
        <f t="shared" si="31"/>
        <v>2.2439478516423092E-3</v>
      </c>
    </row>
    <row r="301" spans="2:6" x14ac:dyDescent="0.2">
      <c r="B301" s="303" t="s">
        <v>138</v>
      </c>
      <c r="C301" s="334">
        <f t="shared" si="31"/>
        <v>4.8043782507885448E-4</v>
      </c>
      <c r="D301" s="334">
        <f t="shared" si="31"/>
        <v>2.0094501433661521E-3</v>
      </c>
    </row>
    <row r="302" spans="2:6" x14ac:dyDescent="0.2">
      <c r="B302" s="303" t="s">
        <v>139</v>
      </c>
      <c r="C302" s="334">
        <f t="shared" si="31"/>
        <v>-1.2527142141306163E-4</v>
      </c>
      <c r="D302" s="334">
        <f t="shared" si="31"/>
        <v>1.8682679348242951E-3</v>
      </c>
    </row>
    <row r="303" spans="2:6" x14ac:dyDescent="0.2">
      <c r="B303" s="303" t="s">
        <v>140</v>
      </c>
      <c r="C303" s="334">
        <f t="shared" si="31"/>
        <v>-3.2365838379619962E-4</v>
      </c>
      <c r="D303" s="334">
        <f t="shared" si="31"/>
        <v>1.7659850999564336E-3</v>
      </c>
    </row>
    <row r="304" spans="2:6" x14ac:dyDescent="0.2">
      <c r="B304" s="303" t="s">
        <v>141</v>
      </c>
      <c r="C304" s="334">
        <f t="shared" si="31"/>
        <v>-1.7754754618847193E-4</v>
      </c>
      <c r="D304" s="334">
        <f t="shared" si="31"/>
        <v>1.6900861019532431E-3</v>
      </c>
    </row>
    <row r="305" spans="2:4" x14ac:dyDescent="0.2">
      <c r="B305" s="303" t="s">
        <v>142</v>
      </c>
      <c r="C305" s="334">
        <f t="shared" si="31"/>
        <v>-7.3120795554255632E-4</v>
      </c>
      <c r="D305" s="334">
        <f t="shared" si="31"/>
        <v>1.6103934228371771E-3</v>
      </c>
    </row>
    <row r="306" spans="2:4" x14ac:dyDescent="0.2">
      <c r="B306" s="303" t="s">
        <v>143</v>
      </c>
      <c r="C306" s="334">
        <f t="shared" si="31"/>
        <v>-6.272082958750601E-4</v>
      </c>
      <c r="D306" s="334">
        <f t="shared" si="31"/>
        <v>1.5151265087107078E-3</v>
      </c>
    </row>
    <row r="307" spans="2:4" x14ac:dyDescent="0.2">
      <c r="B307" s="303" t="s">
        <v>144</v>
      </c>
      <c r="C307" s="334">
        <f t="shared" si="31"/>
        <v>-9.5186293173782973E-4</v>
      </c>
      <c r="D307" s="334">
        <f t="shared" si="31"/>
        <v>1.4130532217450473E-3</v>
      </c>
    </row>
    <row r="308" spans="2:4" x14ac:dyDescent="0.2">
      <c r="B308" s="303" t="s">
        <v>145</v>
      </c>
      <c r="C308" s="334">
        <f t="shared" si="31"/>
        <v>-1.0679398184502309E-3</v>
      </c>
      <c r="D308" s="334">
        <f t="shared" si="31"/>
        <v>1.3070789137139848E-3</v>
      </c>
    </row>
    <row r="309" spans="2:4" x14ac:dyDescent="0.2">
      <c r="B309" s="303" t="s">
        <v>146</v>
      </c>
      <c r="C309" s="334">
        <f t="shared" si="31"/>
        <v>-1.1214874906979426E-3</v>
      </c>
      <c r="D309" s="334">
        <f t="shared" si="31"/>
        <v>1.1829262742554065E-3</v>
      </c>
    </row>
    <row r="310" spans="2:4" x14ac:dyDescent="0.2">
      <c r="B310" s="303" t="s">
        <v>147</v>
      </c>
      <c r="C310" s="334">
        <f t="shared" si="31"/>
        <v>-1.38507061761558E-3</v>
      </c>
      <c r="D310" s="334">
        <f t="shared" si="31"/>
        <v>1.0541760632765394E-3</v>
      </c>
    </row>
    <row r="311" spans="2:4" x14ac:dyDescent="0.2">
      <c r="B311" s="303" t="s">
        <v>148</v>
      </c>
      <c r="C311" s="334">
        <f t="shared" si="31"/>
        <v>-1.6601870337291163E-3</v>
      </c>
      <c r="D311" s="334">
        <f t="shared" si="31"/>
        <v>9.3161378211770044E-4</v>
      </c>
    </row>
    <row r="312" spans="2:4" x14ac:dyDescent="0.2">
      <c r="B312" s="303" t="s">
        <v>149</v>
      </c>
      <c r="C312" s="334">
        <f t="shared" si="31"/>
        <v>-1.441923125499937E-3</v>
      </c>
      <c r="D312" s="334">
        <f t="shared" si="31"/>
        <v>8.0544693843749777E-4</v>
      </c>
    </row>
    <row r="313" spans="2:4" x14ac:dyDescent="0.2">
      <c r="B313" s="303" t="s">
        <v>150</v>
      </c>
      <c r="C313" s="334">
        <f t="shared" si="31"/>
        <v>-1.6864295125164691E-3</v>
      </c>
      <c r="D313" s="334">
        <f t="shared" si="31"/>
        <v>6.7402342154939407E-4</v>
      </c>
    </row>
    <row r="314" spans="2:4" x14ac:dyDescent="0.2">
      <c r="B314" s="303" t="s">
        <v>151</v>
      </c>
      <c r="C314" s="334">
        <f t="shared" si="31"/>
        <v>-1.6787203716412396E-3</v>
      </c>
      <c r="D314" s="334">
        <f t="shared" si="31"/>
        <v>5.5151080344589994E-4</v>
      </c>
    </row>
    <row r="315" spans="2:4" x14ac:dyDescent="0.2">
      <c r="B315" s="303" t="s">
        <v>152</v>
      </c>
      <c r="C315" s="334">
        <f t="shared" si="31"/>
        <v>-1.7555734168112017E-3</v>
      </c>
      <c r="D315" s="334">
        <f t="shared" si="31"/>
        <v>4.4682246703134712E-4</v>
      </c>
    </row>
    <row r="316" spans="2:4" x14ac:dyDescent="0.2">
      <c r="B316" s="303" t="s">
        <v>153</v>
      </c>
      <c r="C316" s="334">
        <f t="shared" si="31"/>
        <v>-1.7692552177137409E-3</v>
      </c>
      <c r="D316" s="334">
        <f t="shared" si="31"/>
        <v>3.5665182592804897E-4</v>
      </c>
    </row>
    <row r="317" spans="2:4" x14ac:dyDescent="0.2">
      <c r="B317" s="303" t="s">
        <v>154</v>
      </c>
      <c r="C317" s="334">
        <f t="shared" si="31"/>
        <v>-1.5919679908302643E-3</v>
      </c>
      <c r="D317" s="334">
        <f t="shared" si="31"/>
        <v>2.7843391960637951E-4</v>
      </c>
    </row>
    <row r="318" spans="2:4" x14ac:dyDescent="0.2">
      <c r="B318" s="303" t="s">
        <v>155</v>
      </c>
      <c r="C318" s="334">
        <f t="shared" si="31"/>
        <v>-1.7433269907412329E-3</v>
      </c>
      <c r="D318" s="334">
        <f t="shared" si="31"/>
        <v>2.1320916950182817E-4</v>
      </c>
    </row>
    <row r="319" spans="2:4" x14ac:dyDescent="0.2">
      <c r="B319" s="303" t="s">
        <v>156</v>
      </c>
      <c r="C319" s="334">
        <f t="shared" si="31"/>
        <v>-1.6718312408821306E-3</v>
      </c>
      <c r="D319" s="334">
        <f t="shared" si="31"/>
        <v>1.5736076039877406E-4</v>
      </c>
    </row>
    <row r="320" spans="2:4" x14ac:dyDescent="0.2">
      <c r="B320" s="303" t="s">
        <v>157</v>
      </c>
      <c r="C320" s="334">
        <f t="shared" si="31"/>
        <v>-2.0479563102653812E-3</v>
      </c>
      <c r="D320" s="334">
        <f t="shared" si="31"/>
        <v>1.1069134910329243E-4</v>
      </c>
    </row>
    <row r="321" spans="2:4" x14ac:dyDescent="0.2">
      <c r="B321" s="303" t="s">
        <v>158</v>
      </c>
      <c r="C321" s="334">
        <f t="shared" si="31"/>
        <v>-2.1590423257802482E-3</v>
      </c>
      <c r="D321" s="334">
        <f t="shared" si="31"/>
        <v>6.0451954598250125E-5</v>
      </c>
    </row>
    <row r="322" spans="2:4" x14ac:dyDescent="0.2">
      <c r="B322" s="303" t="s">
        <v>159</v>
      </c>
      <c r="C322" s="334">
        <f t="shared" si="31"/>
        <v>-2.003042053171662E-3</v>
      </c>
      <c r="D322" s="334">
        <f t="shared" si="31"/>
        <v>1.183853954036332E-5</v>
      </c>
    </row>
    <row r="323" spans="2:4" x14ac:dyDescent="0.2">
      <c r="B323" s="303" t="s">
        <v>160</v>
      </c>
      <c r="C323" s="334">
        <f t="shared" si="31"/>
        <v>-2.2002554442906055E-3</v>
      </c>
      <c r="D323" s="334">
        <f t="shared" si="31"/>
        <v>-4.6456749125303718E-5</v>
      </c>
    </row>
    <row r="324" spans="2:4" x14ac:dyDescent="0.2">
      <c r="B324" s="350" t="s">
        <v>788</v>
      </c>
      <c r="C324" s="334">
        <f>(C289-C264)/C264</f>
        <v>-2.6737855946398659E-2</v>
      </c>
      <c r="D324" s="334">
        <f>(D289-D264)/D264</f>
        <v>2.5140949964141887E-2</v>
      </c>
    </row>
    <row r="325" spans="2:4" x14ac:dyDescent="0.2">
      <c r="B325" s="388" t="s">
        <v>133</v>
      </c>
    </row>
  </sheetData>
  <mergeCells count="13">
    <mergeCell ref="B1:H1"/>
    <mergeCell ref="B2:H2"/>
    <mergeCell ref="E104:F104"/>
    <mergeCell ref="E113:F113"/>
    <mergeCell ref="E122:F122"/>
    <mergeCell ref="E106:F106"/>
    <mergeCell ref="E115:F115"/>
    <mergeCell ref="B45:I45"/>
    <mergeCell ref="E124:F124"/>
    <mergeCell ref="N213:O213"/>
    <mergeCell ref="N214:O214"/>
    <mergeCell ref="M217:O217"/>
    <mergeCell ref="M218:O218"/>
  </mergeCells>
  <phoneticPr fontId="14" type="noConversion"/>
  <conditionalFormatting sqref="G26">
    <cfRule type="colorScale" priority="24">
      <colorScale>
        <cfvo type="min"/>
        <cfvo type="percentile" val="50"/>
        <cfvo type="max"/>
        <color rgb="FFF8696B"/>
        <color rgb="FFFFEB84"/>
        <color rgb="FF63BE7B"/>
      </colorScale>
    </cfRule>
  </conditionalFormatting>
  <conditionalFormatting sqref="C35:C36 E35:G36">
    <cfRule type="colorScale" priority="23">
      <colorScale>
        <cfvo type="min"/>
        <cfvo type="percentile" val="50"/>
        <cfvo type="max"/>
        <color rgb="FFF8696B"/>
        <color rgb="FFFFEB84"/>
        <color rgb="FF63BE7B"/>
      </colorScale>
    </cfRule>
  </conditionalFormatting>
  <conditionalFormatting sqref="B121:C125 B120 E120:G121 D121 G122 F125:G125 F123:G123 G124">
    <cfRule type="colorScale" priority="21">
      <colorScale>
        <cfvo type="min"/>
        <cfvo type="percentile" val="50"/>
        <cfvo type="max"/>
        <color rgb="FFF8696B"/>
        <color rgb="FFFFEB84"/>
        <color rgb="FF63BE7B"/>
      </colorScale>
    </cfRule>
  </conditionalFormatting>
  <conditionalFormatting sqref="E35:G35 C35">
    <cfRule type="colorScale" priority="18">
      <colorScale>
        <cfvo type="min"/>
        <cfvo type="percentile" val="50"/>
        <cfvo type="max"/>
        <color rgb="FFF8696B"/>
        <color rgb="FFFFEB84"/>
        <color rgb="FF63BE7B"/>
      </colorScale>
    </cfRule>
  </conditionalFormatting>
  <conditionalFormatting sqref="E36:G36 C36">
    <cfRule type="colorScale" priority="17">
      <colorScale>
        <cfvo type="min"/>
        <cfvo type="percentile" val="50"/>
        <cfvo type="max"/>
        <color rgb="FFF8696B"/>
        <color rgb="FFFFEB84"/>
        <color rgb="FF63BE7B"/>
      </colorScale>
    </cfRule>
  </conditionalFormatting>
  <conditionalFormatting sqref="G164:G168">
    <cfRule type="dataBar" priority="16">
      <dataBar>
        <cfvo type="min"/>
        <cfvo type="max"/>
        <color rgb="FF638EC6"/>
      </dataBar>
      <extLst>
        <ext xmlns:x14="http://schemas.microsoft.com/office/spreadsheetml/2009/9/main" uri="{B025F937-C7B1-47D3-B67F-A62EFF666E3E}">
          <x14:id>{B01A0039-E23F-43C6-83C1-4B0A07CFCA7C}</x14:id>
        </ext>
      </extLst>
    </cfRule>
  </conditionalFormatting>
  <conditionalFormatting sqref="C164:D169 F164">
    <cfRule type="dataBar" priority="15">
      <dataBar>
        <cfvo type="min"/>
        <cfvo type="max"/>
        <color rgb="FF638EC6"/>
      </dataBar>
      <extLst>
        <ext xmlns:x14="http://schemas.microsoft.com/office/spreadsheetml/2009/9/main" uri="{B025F937-C7B1-47D3-B67F-A62EFF666E3E}">
          <x14:id>{CA38B7E7-849B-4C60-BE43-49A45ADA62DC}</x14:id>
        </ext>
      </extLst>
    </cfRule>
  </conditionalFormatting>
  <conditionalFormatting sqref="F165">
    <cfRule type="dataBar" priority="14">
      <dataBar>
        <cfvo type="min"/>
        <cfvo type="max"/>
        <color rgb="FF638EC6"/>
      </dataBar>
      <extLst>
        <ext xmlns:x14="http://schemas.microsoft.com/office/spreadsheetml/2009/9/main" uri="{B025F937-C7B1-47D3-B67F-A62EFF666E3E}">
          <x14:id>{2C928083-B78B-4335-8A81-C8598BFC567A}</x14:id>
        </ext>
      </extLst>
    </cfRule>
  </conditionalFormatting>
  <conditionalFormatting sqref="F166">
    <cfRule type="dataBar" priority="13">
      <dataBar>
        <cfvo type="min"/>
        <cfvo type="max"/>
        <color rgb="FF638EC6"/>
      </dataBar>
      <extLst>
        <ext xmlns:x14="http://schemas.microsoft.com/office/spreadsheetml/2009/9/main" uri="{B025F937-C7B1-47D3-B67F-A62EFF666E3E}">
          <x14:id>{58EEB5B4-4D5F-475B-B418-BCC3141AF296}</x14:id>
        </ext>
      </extLst>
    </cfRule>
  </conditionalFormatting>
  <conditionalFormatting sqref="F167">
    <cfRule type="dataBar" priority="12">
      <dataBar>
        <cfvo type="min"/>
        <cfvo type="max"/>
        <color rgb="FF638EC6"/>
      </dataBar>
      <extLst>
        <ext xmlns:x14="http://schemas.microsoft.com/office/spreadsheetml/2009/9/main" uri="{B025F937-C7B1-47D3-B67F-A62EFF666E3E}">
          <x14:id>{B9B77302-C0F4-494B-9430-47F4A43C7613}</x14:id>
        </ext>
      </extLst>
    </cfRule>
  </conditionalFormatting>
  <conditionalFormatting sqref="F169:G169 F168">
    <cfRule type="dataBar" priority="11">
      <dataBar>
        <cfvo type="min"/>
        <cfvo type="max"/>
        <color rgb="FF638EC6"/>
      </dataBar>
      <extLst>
        <ext xmlns:x14="http://schemas.microsoft.com/office/spreadsheetml/2009/9/main" uri="{B025F937-C7B1-47D3-B67F-A62EFF666E3E}">
          <x14:id>{E0E1611B-0F53-4353-B0AD-77C99FA76934}</x14:id>
        </ext>
      </extLst>
    </cfRule>
  </conditionalFormatting>
  <conditionalFormatting sqref="E184:E185 I184:I185 G184:G185">
    <cfRule type="colorScale" priority="68">
      <colorScale>
        <cfvo type="min"/>
        <cfvo type="percentile" val="50"/>
        <cfvo type="max"/>
        <color rgb="FFF8696B"/>
        <color rgb="FFFFEB84"/>
        <color rgb="FF63BE7B"/>
      </colorScale>
    </cfRule>
  </conditionalFormatting>
  <conditionalFormatting sqref="C27">
    <cfRule type="colorScale" priority="9">
      <colorScale>
        <cfvo type="min"/>
        <cfvo type="percentile" val="50"/>
        <cfvo type="max"/>
        <color rgb="FFF8696B"/>
        <color rgb="FFFFEB84"/>
        <color rgb="FF63BE7B"/>
      </colorScale>
    </cfRule>
  </conditionalFormatting>
  <conditionalFormatting sqref="D27">
    <cfRule type="colorScale" priority="8">
      <colorScale>
        <cfvo type="min"/>
        <cfvo type="percentile" val="50"/>
        <cfvo type="max"/>
        <color rgb="FFF8696B"/>
        <color rgb="FFFFEB84"/>
        <color rgb="FF63BE7B"/>
      </colorScale>
    </cfRule>
  </conditionalFormatting>
  <conditionalFormatting sqref="D35:D36">
    <cfRule type="colorScale" priority="7">
      <colorScale>
        <cfvo type="min"/>
        <cfvo type="percentile" val="50"/>
        <cfvo type="max"/>
        <color rgb="FFF8696B"/>
        <color rgb="FFFFEB84"/>
        <color rgb="FF63BE7B"/>
      </colorScale>
    </cfRule>
  </conditionalFormatting>
  <conditionalFormatting sqref="D35">
    <cfRule type="colorScale" priority="6">
      <colorScale>
        <cfvo type="min"/>
        <cfvo type="percentile" val="50"/>
        <cfvo type="max"/>
        <color rgb="FFF8696B"/>
        <color rgb="FFFFEB84"/>
        <color rgb="FF63BE7B"/>
      </colorScale>
    </cfRule>
  </conditionalFormatting>
  <conditionalFormatting sqref="D36">
    <cfRule type="colorScale" priority="5">
      <colorScale>
        <cfvo type="min"/>
        <cfvo type="percentile" val="50"/>
        <cfvo type="max"/>
        <color rgb="FFF8696B"/>
        <color rgb="FFFFEB84"/>
        <color rgb="FF63BE7B"/>
      </colorScale>
    </cfRule>
  </conditionalFormatting>
  <conditionalFormatting sqref="D122:D125">
    <cfRule type="colorScale" priority="2">
      <colorScale>
        <cfvo type="min"/>
        <cfvo type="percentile" val="50"/>
        <cfvo type="max"/>
        <color rgb="FFF8696B"/>
        <color rgb="FFFFEB84"/>
        <color rgb="FF63BE7B"/>
      </colorScale>
    </cfRule>
  </conditionalFormatting>
  <conditionalFormatting sqref="M211:Q212 R213:R228 M215:Q216 M221:Q226 N219:Q220 P213:Q214 P217:Q218">
    <cfRule type="colorScale" priority="126">
      <colorScale>
        <cfvo type="min"/>
        <cfvo type="percentile" val="50"/>
        <cfvo type="max"/>
        <color rgb="FFF8696B"/>
        <color rgb="FFFFEB84"/>
        <color rgb="FF63BE7B"/>
      </colorScale>
    </cfRule>
  </conditionalFormatting>
  <hyperlinks>
    <hyperlink ref="B80" r:id="rId1" xr:uid="{EBF7243E-933D-4E5B-A384-450590CB483C}"/>
    <hyperlink ref="H80" r:id="rId2" xr:uid="{B556752B-3FED-48B2-BC57-4C13A9879A37}"/>
    <hyperlink ref="B117" r:id="rId3" xr:uid="{A1F0B370-482D-4CDB-853B-B2A5E04F16FF}"/>
    <hyperlink ref="B28" r:id="rId4" xr:uid="{46E83E9B-DF77-4220-86DC-1E635C3A11E3}"/>
    <hyperlink ref="B37" r:id="rId5" xr:uid="{90349C99-074F-4C16-8C85-7BD6441CE8A4}"/>
    <hyperlink ref="B108" r:id="rId6" xr:uid="{F6FA1860-CEFB-4F77-AA00-B32D9EF64BE3}"/>
    <hyperlink ref="B126" r:id="rId7" xr:uid="{BF560478-F35A-436C-B661-54AAE0733875}"/>
    <hyperlink ref="B186" r:id="rId8" xr:uid="{BD9D3DED-1146-4943-A6AE-6C62D493055D}"/>
    <hyperlink ref="F141" r:id="rId9" xr:uid="{DCEEF55A-1A7D-4079-88E7-05BC9562D478}"/>
    <hyperlink ref="J141" r:id="rId10" xr:uid="{E447C843-0ACB-4FE2-9D43-6776B12ABF89}"/>
    <hyperlink ref="N141" r:id="rId11" xr:uid="{C689D38E-CBB9-49D8-87E9-DD16112EC651}"/>
    <hyperlink ref="R143" r:id="rId12" xr:uid="{4C1A68C9-D884-4AF7-BB04-C38436400922}"/>
    <hyperlink ref="B170" r:id="rId13" xr:uid="{61AECD53-FB8A-4FA9-B0BA-FAD3E36AD44A}"/>
    <hyperlink ref="B232" r:id="rId14" xr:uid="{3AFD3E5B-D266-41B9-92E4-BE777CDD93B0}"/>
    <hyperlink ref="J232" r:id="rId15" xr:uid="{6DB8C683-0592-488B-9DDE-0E08F7330B1F}"/>
    <hyperlink ref="B209" r:id="rId16" xr:uid="{8B048E30-7AFD-43E3-9751-40270E0264E8}"/>
    <hyperlink ref="B250" r:id="rId17" xr:uid="{7AF5447F-FBD2-4EA4-8FD2-C50EB0D57B3A}"/>
    <hyperlink ref="B294" r:id="rId18" xr:uid="{73C57437-B7EF-4770-9CB8-0EA29CEA3317}"/>
    <hyperlink ref="B141" r:id="rId19" xr:uid="{BDE39B17-B30E-46F9-958C-47A9EFB76CAB}"/>
    <hyperlink ref="F232" r:id="rId20" xr:uid="{FBA1A33B-5F5F-4174-B709-752B4ECEE0B0}"/>
    <hyperlink ref="B325" r:id="rId21" xr:uid="{28FE6E30-5BE1-4B9A-8475-74703A689DAD}"/>
    <hyperlink ref="B258" r:id="rId22" xr:uid="{534DE246-5FA6-494B-A528-859DE133494C}"/>
    <hyperlink ref="B50" r:id="rId23" xr:uid="{C7ABD6FA-4D45-4D29-9819-CD0E5B506BF6}"/>
  </hyperlinks>
  <pageMargins left="0.7" right="0.7" top="0.75" bottom="0.75" header="0.3" footer="0.3"/>
  <pageSetup paperSize="9" orientation="portrait" r:id="rId24"/>
  <drawing r:id="rId25"/>
  <extLst>
    <ext xmlns:x14="http://schemas.microsoft.com/office/spreadsheetml/2009/9/main" uri="{78C0D931-6437-407d-A8EE-F0AAD7539E65}">
      <x14:conditionalFormattings>
        <x14:conditionalFormatting xmlns:xm="http://schemas.microsoft.com/office/excel/2006/main">
          <x14:cfRule type="dataBar" id="{B01A0039-E23F-43C6-83C1-4B0A07CFCA7C}">
            <x14:dataBar minLength="0" maxLength="100" border="1" negativeBarBorderColorSameAsPositive="0">
              <x14:cfvo type="autoMin"/>
              <x14:cfvo type="autoMax"/>
              <x14:borderColor rgb="FF638EC6"/>
              <x14:negativeFillColor rgb="FFFF0000"/>
              <x14:negativeBorderColor rgb="FFFF0000"/>
              <x14:axisColor rgb="FF000000"/>
            </x14:dataBar>
          </x14:cfRule>
          <xm:sqref>G164:G168</xm:sqref>
        </x14:conditionalFormatting>
        <x14:conditionalFormatting xmlns:xm="http://schemas.microsoft.com/office/excel/2006/main">
          <x14:cfRule type="dataBar" id="{CA38B7E7-849B-4C60-BE43-49A45ADA62DC}">
            <x14:dataBar minLength="0" maxLength="100" border="1" negativeBarBorderColorSameAsPositive="0">
              <x14:cfvo type="autoMin"/>
              <x14:cfvo type="autoMax"/>
              <x14:borderColor rgb="FF638EC6"/>
              <x14:negativeFillColor rgb="FFFF0000"/>
              <x14:negativeBorderColor rgb="FFFF0000"/>
              <x14:axisColor rgb="FF000000"/>
            </x14:dataBar>
          </x14:cfRule>
          <xm:sqref>C164:D169 F164</xm:sqref>
        </x14:conditionalFormatting>
        <x14:conditionalFormatting xmlns:xm="http://schemas.microsoft.com/office/excel/2006/main">
          <x14:cfRule type="dataBar" id="{2C928083-B78B-4335-8A81-C8598BFC567A}">
            <x14:dataBar minLength="0" maxLength="100" border="1" negativeBarBorderColorSameAsPositive="0">
              <x14:cfvo type="autoMin"/>
              <x14:cfvo type="autoMax"/>
              <x14:borderColor rgb="FF638EC6"/>
              <x14:negativeFillColor rgb="FFFF0000"/>
              <x14:negativeBorderColor rgb="FFFF0000"/>
              <x14:axisColor rgb="FF000000"/>
            </x14:dataBar>
          </x14:cfRule>
          <xm:sqref>F165</xm:sqref>
        </x14:conditionalFormatting>
        <x14:conditionalFormatting xmlns:xm="http://schemas.microsoft.com/office/excel/2006/main">
          <x14:cfRule type="dataBar" id="{58EEB5B4-4D5F-475B-B418-BCC3141AF296}">
            <x14:dataBar minLength="0" maxLength="100" border="1" negativeBarBorderColorSameAsPositive="0">
              <x14:cfvo type="autoMin"/>
              <x14:cfvo type="autoMax"/>
              <x14:borderColor rgb="FF638EC6"/>
              <x14:negativeFillColor rgb="FFFF0000"/>
              <x14:negativeBorderColor rgb="FFFF0000"/>
              <x14:axisColor rgb="FF000000"/>
            </x14:dataBar>
          </x14:cfRule>
          <xm:sqref>F166</xm:sqref>
        </x14:conditionalFormatting>
        <x14:conditionalFormatting xmlns:xm="http://schemas.microsoft.com/office/excel/2006/main">
          <x14:cfRule type="dataBar" id="{B9B77302-C0F4-494B-9430-47F4A43C7613}">
            <x14:dataBar minLength="0" maxLength="100" border="1" negativeBarBorderColorSameAsPositive="0">
              <x14:cfvo type="autoMin"/>
              <x14:cfvo type="autoMax"/>
              <x14:borderColor rgb="FF638EC6"/>
              <x14:negativeFillColor rgb="FFFF0000"/>
              <x14:negativeBorderColor rgb="FFFF0000"/>
              <x14:axisColor rgb="FF000000"/>
            </x14:dataBar>
          </x14:cfRule>
          <xm:sqref>F167</xm:sqref>
        </x14:conditionalFormatting>
        <x14:conditionalFormatting xmlns:xm="http://schemas.microsoft.com/office/excel/2006/main">
          <x14:cfRule type="dataBar" id="{E0E1611B-0F53-4353-B0AD-77C99FA76934}">
            <x14:dataBar minLength="0" maxLength="100" border="1" negativeBarBorderColorSameAsPositive="0">
              <x14:cfvo type="autoMin"/>
              <x14:cfvo type="autoMax"/>
              <x14:borderColor rgb="FF638EC6"/>
              <x14:negativeFillColor rgb="FFFF0000"/>
              <x14:negativeBorderColor rgb="FFFF0000"/>
              <x14:axisColor rgb="FF000000"/>
            </x14:dataBar>
          </x14:cfRule>
          <xm:sqref>F169:G169 F168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27DCA-4CFC-4621-B877-81C376EECBE8}">
  <sheetPr>
    <tabColor rgb="FFFFC000"/>
  </sheetPr>
  <dimension ref="A2:S316"/>
  <sheetViews>
    <sheetView topLeftCell="A91" zoomScale="85" zoomScaleNormal="85" workbookViewId="0">
      <selection activeCell="C119" sqref="C119"/>
    </sheetView>
  </sheetViews>
  <sheetFormatPr defaultRowHeight="14.25" x14ac:dyDescent="0.2"/>
  <cols>
    <col min="1" max="1" width="9.140625" style="71"/>
    <col min="2" max="2" width="37.140625" style="71" customWidth="1"/>
    <col min="3" max="7" width="25.7109375" style="71" customWidth="1"/>
    <col min="8" max="8" width="25.42578125" style="71" customWidth="1"/>
    <col min="9" max="9" width="25.7109375" style="71" customWidth="1"/>
    <col min="10" max="26" width="20.7109375" style="71" customWidth="1"/>
    <col min="27" max="16384" width="9.140625" style="71"/>
  </cols>
  <sheetData>
    <row r="2" spans="1:19" ht="18" x14ac:dyDescent="0.2">
      <c r="B2" s="610" t="s">
        <v>35</v>
      </c>
      <c r="C2" s="611"/>
      <c r="D2" s="611"/>
      <c r="E2" s="611"/>
      <c r="F2" s="611"/>
      <c r="G2" s="611"/>
      <c r="H2" s="612"/>
    </row>
    <row r="3" spans="1:19" ht="18" x14ac:dyDescent="0.2">
      <c r="B3" s="613" t="s">
        <v>177</v>
      </c>
      <c r="C3" s="614"/>
      <c r="D3" s="614"/>
      <c r="E3" s="614"/>
      <c r="F3" s="614"/>
      <c r="G3" s="614"/>
      <c r="H3" s="615"/>
    </row>
    <row r="4" spans="1:19" ht="18" x14ac:dyDescent="0.2">
      <c r="B4" s="265"/>
      <c r="C4" s="265"/>
      <c r="D4" s="265"/>
      <c r="E4" s="265"/>
      <c r="F4" s="265"/>
      <c r="G4" s="265"/>
      <c r="H4" s="265"/>
    </row>
    <row r="5" spans="1:19" x14ac:dyDescent="0.2">
      <c r="B5" s="155" t="s">
        <v>178</v>
      </c>
      <c r="E5" s="155"/>
      <c r="H5" s="155"/>
    </row>
    <row r="6" spans="1:19" x14ac:dyDescent="0.2">
      <c r="B6" s="123" t="s">
        <v>179</v>
      </c>
    </row>
    <row r="7" spans="1:19" ht="15" x14ac:dyDescent="0.2">
      <c r="C7" s="266"/>
      <c r="D7" s="266"/>
      <c r="E7" s="266"/>
      <c r="F7" s="266"/>
    </row>
    <row r="8" spans="1:19" ht="15" x14ac:dyDescent="0.25">
      <c r="B8" s="267" t="s">
        <v>683</v>
      </c>
      <c r="E8" s="616" t="s">
        <v>180</v>
      </c>
      <c r="F8" s="616"/>
      <c r="G8" s="83"/>
      <c r="P8" s="267" t="s">
        <v>182</v>
      </c>
    </row>
    <row r="9" spans="1:19" ht="15" x14ac:dyDescent="0.2">
      <c r="A9" s="340"/>
      <c r="B9" s="119" t="s">
        <v>118</v>
      </c>
      <c r="C9" s="39">
        <v>2011</v>
      </c>
      <c r="D9" s="39">
        <v>2021</v>
      </c>
      <c r="E9" s="39" t="s">
        <v>183</v>
      </c>
      <c r="F9" s="41" t="s">
        <v>56</v>
      </c>
      <c r="P9" s="268" t="s">
        <v>118</v>
      </c>
      <c r="Q9" s="269">
        <v>2008</v>
      </c>
      <c r="R9" s="269">
        <v>2018</v>
      </c>
      <c r="S9" s="270" t="s">
        <v>184</v>
      </c>
    </row>
    <row r="10" spans="1:19" x14ac:dyDescent="0.2">
      <c r="B10" s="282" t="s">
        <v>38</v>
      </c>
      <c r="C10" s="292">
        <v>40155</v>
      </c>
      <c r="D10" s="292">
        <v>43590</v>
      </c>
      <c r="E10" s="293">
        <f>D10-C10</f>
        <v>3435</v>
      </c>
      <c r="F10" s="546">
        <f>E10/C10</f>
        <v>8.5543518864400453E-2</v>
      </c>
      <c r="P10" s="282" t="s">
        <v>166</v>
      </c>
      <c r="Q10" s="271">
        <v>50639</v>
      </c>
      <c r="R10" s="271">
        <v>53888</v>
      </c>
      <c r="S10" s="294">
        <f>S17/Q10</f>
        <v>0</v>
      </c>
    </row>
    <row r="11" spans="1:19" x14ac:dyDescent="0.2">
      <c r="B11" s="282" t="s">
        <v>41</v>
      </c>
      <c r="C11" s="292">
        <v>2376424</v>
      </c>
      <c r="D11" s="292">
        <v>2528823</v>
      </c>
      <c r="E11" s="293">
        <f>D11-C11</f>
        <v>152399</v>
      </c>
      <c r="F11" s="546">
        <f>E11/C11</f>
        <v>6.4129549272352065E-2</v>
      </c>
      <c r="P11" s="353"/>
      <c r="Q11" s="440"/>
      <c r="R11" s="440"/>
      <c r="S11" s="439"/>
    </row>
    <row r="12" spans="1:19" x14ac:dyDescent="0.2">
      <c r="B12" s="605" t="s">
        <v>185</v>
      </c>
      <c r="C12" s="605"/>
      <c r="D12" s="605"/>
      <c r="E12" s="605"/>
      <c r="F12" s="605"/>
    </row>
    <row r="14" spans="1:19" ht="15" x14ac:dyDescent="0.25">
      <c r="B14" s="346" t="s">
        <v>707</v>
      </c>
      <c r="C14" s="340"/>
    </row>
    <row r="15" spans="1:19" ht="15" x14ac:dyDescent="0.2">
      <c r="A15" s="340"/>
      <c r="B15" s="13" t="s">
        <v>186</v>
      </c>
      <c r="C15" s="13" t="s">
        <v>38</v>
      </c>
      <c r="D15" s="184"/>
      <c r="E15" s="184"/>
      <c r="F15" s="184"/>
      <c r="G15" s="184"/>
      <c r="I15" s="275"/>
    </row>
    <row r="16" spans="1:19" ht="15" x14ac:dyDescent="0.2">
      <c r="B16" s="276" t="s">
        <v>187</v>
      </c>
      <c r="C16" s="277">
        <v>12053</v>
      </c>
      <c r="D16" s="192"/>
      <c r="E16" s="192"/>
      <c r="F16" s="192"/>
      <c r="G16" s="192"/>
      <c r="I16" s="274"/>
    </row>
    <row r="17" spans="2:9" x14ac:dyDescent="0.2">
      <c r="B17" s="276" t="s">
        <v>188</v>
      </c>
      <c r="C17" s="277">
        <v>12052</v>
      </c>
      <c r="D17" s="192"/>
      <c r="E17" s="192"/>
      <c r="F17" s="192"/>
      <c r="G17" s="192"/>
      <c r="I17" s="278"/>
    </row>
    <row r="18" spans="2:9" ht="15" x14ac:dyDescent="0.2">
      <c r="B18" s="276" t="s">
        <v>189</v>
      </c>
      <c r="C18" s="277">
        <v>3655</v>
      </c>
      <c r="D18" s="192"/>
      <c r="E18" s="192"/>
      <c r="F18" s="192"/>
      <c r="G18" s="192"/>
      <c r="I18" s="274"/>
    </row>
    <row r="19" spans="2:9" ht="15" x14ac:dyDescent="0.2">
      <c r="B19" s="279" t="s">
        <v>190</v>
      </c>
      <c r="C19" s="277">
        <v>10578</v>
      </c>
      <c r="D19" s="193"/>
      <c r="E19" s="193"/>
      <c r="F19" s="193"/>
      <c r="G19" s="193"/>
      <c r="I19" s="274"/>
    </row>
    <row r="20" spans="2:9" ht="15" x14ac:dyDescent="0.2">
      <c r="B20" s="279" t="s">
        <v>191</v>
      </c>
      <c r="C20" s="277">
        <v>4870</v>
      </c>
      <c r="D20" s="193"/>
      <c r="E20" s="193"/>
      <c r="F20" s="193"/>
      <c r="G20" s="193"/>
      <c r="I20" s="274"/>
    </row>
    <row r="21" spans="2:9" ht="28.5" x14ac:dyDescent="0.2">
      <c r="B21" s="302" t="s">
        <v>192</v>
      </c>
      <c r="C21" s="13" t="s">
        <v>38</v>
      </c>
      <c r="D21" s="184"/>
      <c r="E21" s="184"/>
      <c r="F21" s="184"/>
      <c r="G21" s="184"/>
      <c r="I21" s="274"/>
    </row>
    <row r="22" spans="2:9" ht="15" x14ac:dyDescent="0.2">
      <c r="B22" s="276" t="s">
        <v>187</v>
      </c>
      <c r="C22" s="277">
        <v>13633</v>
      </c>
      <c r="D22" s="185"/>
      <c r="E22" s="185"/>
      <c r="F22" s="185"/>
      <c r="G22" s="185"/>
      <c r="I22" s="274"/>
    </row>
    <row r="23" spans="2:9" x14ac:dyDescent="0.2">
      <c r="B23" s="276" t="s">
        <v>188</v>
      </c>
      <c r="C23" s="277">
        <v>15243</v>
      </c>
      <c r="D23" s="185"/>
      <c r="E23" s="185"/>
      <c r="F23" s="185"/>
      <c r="G23" s="185"/>
      <c r="I23" s="272"/>
    </row>
    <row r="24" spans="2:9" x14ac:dyDescent="0.2">
      <c r="B24" s="276" t="s">
        <v>189</v>
      </c>
      <c r="C24" s="277">
        <v>2639</v>
      </c>
      <c r="D24" s="185"/>
      <c r="E24" s="185"/>
      <c r="F24" s="185"/>
      <c r="G24" s="185"/>
      <c r="I24" s="278"/>
    </row>
    <row r="25" spans="2:9" x14ac:dyDescent="0.2">
      <c r="B25" s="279" t="s">
        <v>190</v>
      </c>
      <c r="C25" s="280">
        <v>8247</v>
      </c>
      <c r="D25" s="185"/>
      <c r="E25" s="185"/>
      <c r="F25" s="185"/>
      <c r="G25" s="185"/>
    </row>
    <row r="26" spans="2:9" ht="15" x14ac:dyDescent="0.2">
      <c r="B26" s="279" t="s">
        <v>191</v>
      </c>
      <c r="C26" s="280">
        <v>3425</v>
      </c>
      <c r="D26" s="185"/>
      <c r="E26" s="185"/>
      <c r="F26" s="185"/>
      <c r="G26" s="185"/>
      <c r="I26" s="274"/>
    </row>
    <row r="27" spans="2:9" x14ac:dyDescent="0.2">
      <c r="B27" s="13" t="s">
        <v>193</v>
      </c>
      <c r="C27" s="13" t="s">
        <v>38</v>
      </c>
      <c r="D27" s="184"/>
      <c r="E27" s="184"/>
      <c r="F27" s="184"/>
      <c r="G27" s="184"/>
    </row>
    <row r="28" spans="2:9" x14ac:dyDescent="0.2">
      <c r="B28" s="276" t="s">
        <v>187</v>
      </c>
      <c r="C28" s="281">
        <f t="shared" ref="C28:C32" si="0">(C22-C16)/C16</f>
        <v>0.13108769600929229</v>
      </c>
      <c r="D28" s="189"/>
      <c r="E28" s="189"/>
      <c r="F28" s="189"/>
      <c r="G28" s="189"/>
    </row>
    <row r="29" spans="2:9" x14ac:dyDescent="0.2">
      <c r="B29" s="276" t="s">
        <v>188</v>
      </c>
      <c r="C29" s="281">
        <f t="shared" si="0"/>
        <v>0.26476933289080651</v>
      </c>
      <c r="D29" s="189"/>
      <c r="E29" s="189"/>
      <c r="F29" s="189"/>
      <c r="G29" s="189"/>
    </row>
    <row r="30" spans="2:9" x14ac:dyDescent="0.2">
      <c r="B30" s="276" t="s">
        <v>189</v>
      </c>
      <c r="C30" s="281">
        <f t="shared" si="0"/>
        <v>-0.27797537619699042</v>
      </c>
      <c r="D30" s="189"/>
      <c r="E30" s="189"/>
      <c r="F30" s="189"/>
      <c r="G30" s="189"/>
    </row>
    <row r="31" spans="2:9" x14ac:dyDescent="0.2">
      <c r="B31" s="279" t="s">
        <v>190</v>
      </c>
      <c r="C31" s="281">
        <f t="shared" si="0"/>
        <v>-0.22036301758366422</v>
      </c>
      <c r="D31" s="189"/>
      <c r="E31" s="189"/>
      <c r="F31" s="189"/>
      <c r="G31" s="189"/>
    </row>
    <row r="32" spans="2:9" x14ac:dyDescent="0.2">
      <c r="B32" s="279" t="s">
        <v>191</v>
      </c>
      <c r="C32" s="281">
        <f t="shared" si="0"/>
        <v>-0.29671457905544146</v>
      </c>
      <c r="D32" s="189"/>
      <c r="E32" s="189"/>
      <c r="F32" s="189"/>
      <c r="G32" s="189"/>
    </row>
    <row r="33" spans="1:7" x14ac:dyDescent="0.2">
      <c r="B33" s="71" t="s">
        <v>194</v>
      </c>
    </row>
    <row r="34" spans="1:7" x14ac:dyDescent="0.2">
      <c r="B34" s="71" t="s">
        <v>823</v>
      </c>
    </row>
    <row r="36" spans="1:7" ht="15.75" x14ac:dyDescent="0.25">
      <c r="B36" s="273" t="s">
        <v>708</v>
      </c>
      <c r="C36" s="273"/>
      <c r="D36" s="273"/>
      <c r="E36" s="273"/>
      <c r="G36" s="355"/>
    </row>
    <row r="37" spans="1:7" x14ac:dyDescent="0.2">
      <c r="A37" s="340"/>
      <c r="B37" s="13" t="s">
        <v>578</v>
      </c>
      <c r="C37" s="118" t="s">
        <v>38</v>
      </c>
      <c r="D37" s="118" t="s">
        <v>41</v>
      </c>
      <c r="E37" s="118" t="s">
        <v>598</v>
      </c>
      <c r="F37" s="329" t="s">
        <v>599</v>
      </c>
    </row>
    <row r="38" spans="1:7" x14ac:dyDescent="0.2">
      <c r="B38" s="354">
        <v>2001</v>
      </c>
      <c r="C38" s="283">
        <v>2.37</v>
      </c>
      <c r="D38" s="283">
        <v>2.27</v>
      </c>
      <c r="E38" s="284"/>
      <c r="F38" s="284"/>
    </row>
    <row r="39" spans="1:7" x14ac:dyDescent="0.2">
      <c r="B39" s="354">
        <v>2002</v>
      </c>
      <c r="C39" s="283">
        <v>2.36</v>
      </c>
      <c r="D39" s="283">
        <v>2.25</v>
      </c>
      <c r="E39" s="356">
        <f>(C39-C38)/C38</f>
        <v>-4.2194092827005196E-3</v>
      </c>
      <c r="F39" s="356">
        <f>(D39-D38)/D38</f>
        <v>-8.8105726872246774E-3</v>
      </c>
    </row>
    <row r="40" spans="1:7" x14ac:dyDescent="0.2">
      <c r="B40" s="354">
        <v>2003</v>
      </c>
      <c r="C40" s="283">
        <v>2.37</v>
      </c>
      <c r="D40" s="283">
        <v>2.23</v>
      </c>
      <c r="E40" s="356">
        <f t="shared" ref="E40:E58" si="1">(C40-C39)/C39</f>
        <v>4.2372881355933183E-3</v>
      </c>
      <c r="F40" s="356">
        <f t="shared" ref="F40:F58" si="2">(D40-D39)/D39</f>
        <v>-8.8888888888888976E-3</v>
      </c>
    </row>
    <row r="41" spans="1:7" x14ac:dyDescent="0.2">
      <c r="B41" s="354">
        <v>2004</v>
      </c>
      <c r="C41" s="283">
        <v>2.35</v>
      </c>
      <c r="D41" s="283">
        <v>2.2200000000000002</v>
      </c>
      <c r="E41" s="356">
        <f t="shared" si="1"/>
        <v>-8.4388185654008518E-3</v>
      </c>
      <c r="F41" s="356">
        <f t="shared" si="2"/>
        <v>-4.4843049327353305E-3</v>
      </c>
    </row>
    <row r="42" spans="1:7" x14ac:dyDescent="0.2">
      <c r="B42" s="354">
        <v>2005</v>
      </c>
      <c r="C42" s="283">
        <v>2.33</v>
      </c>
      <c r="D42" s="283">
        <v>2.21</v>
      </c>
      <c r="E42" s="356">
        <f t="shared" si="1"/>
        <v>-8.5106382978723475E-3</v>
      </c>
      <c r="F42" s="356">
        <f t="shared" si="2"/>
        <v>-4.5045045045046085E-3</v>
      </c>
    </row>
    <row r="43" spans="1:7" x14ac:dyDescent="0.2">
      <c r="B43" s="354">
        <v>2006</v>
      </c>
      <c r="C43" s="283">
        <v>2.31</v>
      </c>
      <c r="D43" s="283">
        <v>2.2000000000000002</v>
      </c>
      <c r="E43" s="356">
        <f t="shared" si="1"/>
        <v>-8.5836909871244704E-3</v>
      </c>
      <c r="F43" s="356">
        <f t="shared" si="2"/>
        <v>-4.5248868778279576E-3</v>
      </c>
    </row>
    <row r="44" spans="1:7" x14ac:dyDescent="0.2">
      <c r="B44" s="354">
        <v>2007</v>
      </c>
      <c r="C44" s="283">
        <v>2.2999999999999998</v>
      </c>
      <c r="D44" s="283">
        <v>2.19</v>
      </c>
      <c r="E44" s="356">
        <f t="shared" si="1"/>
        <v>-4.3290043290044287E-3</v>
      </c>
      <c r="F44" s="356">
        <f t="shared" si="2"/>
        <v>-4.5454545454546502E-3</v>
      </c>
    </row>
    <row r="45" spans="1:7" x14ac:dyDescent="0.2">
      <c r="B45" s="354">
        <v>2008</v>
      </c>
      <c r="C45" s="283">
        <v>2.31</v>
      </c>
      <c r="D45" s="283">
        <v>2.1800000000000002</v>
      </c>
      <c r="E45" s="356">
        <f t="shared" si="1"/>
        <v>4.3478260869566224E-3</v>
      </c>
      <c r="F45" s="356">
        <f t="shared" si="2"/>
        <v>-4.5662100456620031E-3</v>
      </c>
    </row>
    <row r="46" spans="1:7" x14ac:dyDescent="0.2">
      <c r="B46" s="354">
        <v>2009</v>
      </c>
      <c r="C46" s="283">
        <v>2.31</v>
      </c>
      <c r="D46" s="283">
        <v>2.1800000000000002</v>
      </c>
      <c r="E46" s="356">
        <f t="shared" si="1"/>
        <v>0</v>
      </c>
      <c r="F46" s="356">
        <f t="shared" si="2"/>
        <v>0</v>
      </c>
    </row>
    <row r="47" spans="1:7" x14ac:dyDescent="0.2">
      <c r="B47" s="354">
        <v>2010</v>
      </c>
      <c r="C47" s="283">
        <v>2.2999999999999998</v>
      </c>
      <c r="D47" s="283">
        <v>2.1800000000000002</v>
      </c>
      <c r="E47" s="356">
        <f t="shared" si="1"/>
        <v>-4.3290043290044287E-3</v>
      </c>
      <c r="F47" s="356">
        <f t="shared" si="2"/>
        <v>0</v>
      </c>
    </row>
    <row r="48" spans="1:7" x14ac:dyDescent="0.2">
      <c r="B48" s="354">
        <v>2011</v>
      </c>
      <c r="C48" s="283">
        <v>2.2799999999999998</v>
      </c>
      <c r="D48" s="283">
        <v>2.19</v>
      </c>
      <c r="E48" s="356">
        <f t="shared" si="1"/>
        <v>-8.6956521739130523E-3</v>
      </c>
      <c r="F48" s="356">
        <f t="shared" si="2"/>
        <v>4.5871559633026545E-3</v>
      </c>
    </row>
    <row r="49" spans="1:8" x14ac:dyDescent="0.2">
      <c r="B49" s="354">
        <v>2012</v>
      </c>
      <c r="C49" s="283">
        <v>2.2400000000000002</v>
      </c>
      <c r="D49" s="283">
        <v>2.1800000000000002</v>
      </c>
      <c r="E49" s="356">
        <f t="shared" si="1"/>
        <v>-1.7543859649122629E-2</v>
      </c>
      <c r="F49" s="356">
        <f t="shared" si="2"/>
        <v>-4.5662100456620031E-3</v>
      </c>
    </row>
    <row r="50" spans="1:8" x14ac:dyDescent="0.2">
      <c r="B50" s="354">
        <v>2013</v>
      </c>
      <c r="C50" s="283">
        <v>2.2599999999999998</v>
      </c>
      <c r="D50" s="283">
        <v>2.1800000000000002</v>
      </c>
      <c r="E50" s="356">
        <f t="shared" si="1"/>
        <v>8.9285714285712373E-3</v>
      </c>
      <c r="F50" s="356">
        <f t="shared" si="2"/>
        <v>0</v>
      </c>
    </row>
    <row r="51" spans="1:8" x14ac:dyDescent="0.2">
      <c r="B51" s="354">
        <v>2014</v>
      </c>
      <c r="C51" s="283">
        <v>2.2400000000000002</v>
      </c>
      <c r="D51" s="283">
        <v>2.17</v>
      </c>
      <c r="E51" s="356">
        <f t="shared" si="1"/>
        <v>-8.8495575221237063E-3</v>
      </c>
      <c r="F51" s="356">
        <f t="shared" si="2"/>
        <v>-4.5871559633028575E-3</v>
      </c>
    </row>
    <row r="52" spans="1:8" x14ac:dyDescent="0.2">
      <c r="B52" s="354">
        <v>2015</v>
      </c>
      <c r="C52" s="283">
        <v>2.2400000000000002</v>
      </c>
      <c r="D52" s="283">
        <v>2.17</v>
      </c>
      <c r="E52" s="356">
        <f t="shared" si="1"/>
        <v>0</v>
      </c>
      <c r="F52" s="356">
        <f t="shared" si="2"/>
        <v>0</v>
      </c>
    </row>
    <row r="53" spans="1:8" x14ac:dyDescent="0.2">
      <c r="B53" s="354">
        <v>2016</v>
      </c>
      <c r="C53" s="283">
        <v>2.2400000000000002</v>
      </c>
      <c r="D53" s="283">
        <v>2.17</v>
      </c>
      <c r="E53" s="356">
        <f t="shared" si="1"/>
        <v>0</v>
      </c>
      <c r="F53" s="356">
        <f t="shared" si="2"/>
        <v>0</v>
      </c>
    </row>
    <row r="54" spans="1:8" x14ac:dyDescent="0.2">
      <c r="B54" s="354">
        <v>2017</v>
      </c>
      <c r="C54" s="283">
        <v>2.2200000000000002</v>
      </c>
      <c r="D54" s="283">
        <v>2.16</v>
      </c>
      <c r="E54" s="356">
        <f t="shared" si="1"/>
        <v>-8.928571428571435E-3</v>
      </c>
      <c r="F54" s="356">
        <f t="shared" si="2"/>
        <v>-4.608294930875478E-3</v>
      </c>
    </row>
    <row r="55" spans="1:8" x14ac:dyDescent="0.2">
      <c r="B55" s="354">
        <v>2018</v>
      </c>
      <c r="C55" s="283">
        <v>2.19</v>
      </c>
      <c r="D55" s="283">
        <v>2.15</v>
      </c>
      <c r="E55" s="356">
        <f t="shared" si="1"/>
        <v>-1.3513513513513624E-2</v>
      </c>
      <c r="F55" s="356">
        <f t="shared" si="2"/>
        <v>-4.6296296296297361E-3</v>
      </c>
    </row>
    <row r="56" spans="1:8" x14ac:dyDescent="0.2">
      <c r="B56" s="354">
        <v>2019</v>
      </c>
      <c r="C56" s="283">
        <v>2.1800000000000002</v>
      </c>
      <c r="D56" s="283">
        <v>2.15</v>
      </c>
      <c r="E56" s="356">
        <f t="shared" si="1"/>
        <v>-4.5662100456620031E-3</v>
      </c>
      <c r="F56" s="356">
        <f t="shared" si="2"/>
        <v>0</v>
      </c>
    </row>
    <row r="57" spans="1:8" x14ac:dyDescent="0.2">
      <c r="B57" s="354">
        <v>2020</v>
      </c>
      <c r="C57" s="283">
        <v>2.17</v>
      </c>
      <c r="D57" s="283">
        <v>2.14</v>
      </c>
      <c r="E57" s="356">
        <f t="shared" si="1"/>
        <v>-4.5871559633028575E-3</v>
      </c>
      <c r="F57" s="356">
        <f t="shared" si="2"/>
        <v>-4.6511627906975755E-3</v>
      </c>
    </row>
    <row r="58" spans="1:8" x14ac:dyDescent="0.2">
      <c r="B58" s="354">
        <v>2021</v>
      </c>
      <c r="C58" s="283">
        <v>2.15</v>
      </c>
      <c r="D58" s="283">
        <v>2.12</v>
      </c>
      <c r="E58" s="356">
        <f t="shared" si="1"/>
        <v>-9.2165898617511607E-3</v>
      </c>
      <c r="F58" s="356">
        <f t="shared" si="2"/>
        <v>-9.3457943925233725E-3</v>
      </c>
    </row>
    <row r="59" spans="1:8" x14ac:dyDescent="0.2">
      <c r="B59" s="605" t="s">
        <v>185</v>
      </c>
      <c r="C59" s="605"/>
      <c r="D59" s="605"/>
      <c r="E59" s="605"/>
      <c r="F59" s="605"/>
    </row>
    <row r="60" spans="1:8" ht="15" x14ac:dyDescent="0.2">
      <c r="B60" s="330"/>
      <c r="C60" s="330"/>
      <c r="D60" s="330"/>
      <c r="E60" s="330"/>
      <c r="F60" s="330"/>
    </row>
    <row r="61" spans="1:8" ht="15" x14ac:dyDescent="0.2">
      <c r="A61" s="545"/>
      <c r="B61" s="419" t="s">
        <v>709</v>
      </c>
      <c r="C61" s="330"/>
      <c r="D61" s="330"/>
      <c r="E61" s="330"/>
      <c r="F61" s="330"/>
    </row>
    <row r="62" spans="1:8" ht="15" customHeight="1" x14ac:dyDescent="0.2">
      <c r="A62" s="545"/>
      <c r="B62" s="13"/>
      <c r="C62" s="329" t="s">
        <v>603</v>
      </c>
      <c r="D62" s="329" t="s">
        <v>604</v>
      </c>
      <c r="E62" s="606" t="s">
        <v>605</v>
      </c>
      <c r="F62" s="607"/>
    </row>
    <row r="63" spans="1:8" ht="28.5" x14ac:dyDescent="0.2">
      <c r="A63" s="545"/>
      <c r="B63" s="354" t="s">
        <v>600</v>
      </c>
      <c r="C63" s="356">
        <v>-9.2165898617511104E-3</v>
      </c>
      <c r="D63" s="356">
        <v>-9.3457943925233707E-3</v>
      </c>
      <c r="E63" s="608">
        <f>C63-D63</f>
        <v>1.292045307722603E-4</v>
      </c>
      <c r="F63" s="609"/>
    </row>
    <row r="64" spans="1:8" ht="28.5" x14ac:dyDescent="0.2">
      <c r="A64" s="545"/>
      <c r="B64" s="354" t="s">
        <v>601</v>
      </c>
      <c r="C64" s="356">
        <v>-5.7017543859649002E-2</v>
      </c>
      <c r="D64" s="356">
        <v>-3.1963470319634597E-2</v>
      </c>
      <c r="E64" s="608">
        <f t="shared" ref="E64:E65" si="3">C64-D64</f>
        <v>-2.5054073540014404E-2</v>
      </c>
      <c r="F64" s="609"/>
      <c r="H64" s="451"/>
    </row>
    <row r="65" spans="1:9" ht="28.5" x14ac:dyDescent="0.2">
      <c r="A65" s="545"/>
      <c r="B65" s="354" t="s">
        <v>602</v>
      </c>
      <c r="C65" s="356">
        <v>-9.2827004219409398E-2</v>
      </c>
      <c r="D65" s="356">
        <v>-6.6079295154184994E-2</v>
      </c>
      <c r="E65" s="608">
        <f t="shared" si="3"/>
        <v>-2.6747709065224404E-2</v>
      </c>
      <c r="F65" s="609"/>
    </row>
    <row r="66" spans="1:9" x14ac:dyDescent="0.2">
      <c r="B66" s="605" t="s">
        <v>185</v>
      </c>
      <c r="C66" s="605"/>
      <c r="D66" s="605"/>
      <c r="E66" s="605"/>
      <c r="F66" s="605"/>
    </row>
    <row r="67" spans="1:9" x14ac:dyDescent="0.2">
      <c r="B67" s="450"/>
      <c r="C67" s="450"/>
      <c r="D67" s="450"/>
      <c r="E67" s="450"/>
      <c r="F67" s="450"/>
    </row>
    <row r="68" spans="1:9" ht="15" x14ac:dyDescent="0.25">
      <c r="B68" s="16" t="s">
        <v>710</v>
      </c>
      <c r="C68" s="12"/>
      <c r="D68" s="416"/>
      <c r="E68" s="416"/>
      <c r="F68" s="416"/>
    </row>
    <row r="69" spans="1:9" x14ac:dyDescent="0.2">
      <c r="A69" s="340"/>
      <c r="B69" s="407" t="s">
        <v>651</v>
      </c>
      <c r="C69" s="407" t="s">
        <v>38</v>
      </c>
      <c r="D69" s="416"/>
      <c r="E69" s="416"/>
      <c r="F69" s="416"/>
    </row>
    <row r="70" spans="1:9" x14ac:dyDescent="0.2">
      <c r="B70" s="417" t="s">
        <v>187</v>
      </c>
      <c r="C70" s="418">
        <v>12504</v>
      </c>
      <c r="D70" s="416"/>
      <c r="E70" s="416"/>
      <c r="F70" s="416"/>
    </row>
    <row r="71" spans="1:9" x14ac:dyDescent="0.2">
      <c r="B71" s="417" t="s">
        <v>188</v>
      </c>
      <c r="C71" s="418">
        <v>15114</v>
      </c>
      <c r="D71" s="416"/>
      <c r="E71" s="416"/>
      <c r="F71" s="416"/>
    </row>
    <row r="72" spans="1:9" x14ac:dyDescent="0.2">
      <c r="B72" s="417" t="s">
        <v>189</v>
      </c>
      <c r="C72" s="418">
        <v>2201</v>
      </c>
      <c r="D72" s="416"/>
      <c r="E72" s="416"/>
      <c r="F72" s="416"/>
    </row>
    <row r="73" spans="1:9" x14ac:dyDescent="0.2">
      <c r="B73" s="417" t="s">
        <v>190</v>
      </c>
      <c r="C73" s="418">
        <v>8168</v>
      </c>
      <c r="D73" s="416"/>
      <c r="E73" s="416"/>
      <c r="F73" s="416"/>
    </row>
    <row r="74" spans="1:9" x14ac:dyDescent="0.2">
      <c r="B74" s="417" t="s">
        <v>191</v>
      </c>
      <c r="C74" s="418">
        <v>3990</v>
      </c>
      <c r="D74" s="416"/>
      <c r="E74" s="416"/>
      <c r="F74" s="416"/>
    </row>
    <row r="75" spans="1:9" x14ac:dyDescent="0.2">
      <c r="B75" s="417" t="s">
        <v>330</v>
      </c>
      <c r="C75" s="418">
        <v>557</v>
      </c>
      <c r="D75" s="416"/>
      <c r="E75" s="416"/>
      <c r="F75" s="416"/>
    </row>
    <row r="76" spans="1:9" x14ac:dyDescent="0.2">
      <c r="B76" s="417" t="s">
        <v>86</v>
      </c>
      <c r="C76" s="418">
        <f>SUM(C70:C75)</f>
        <v>42534</v>
      </c>
      <c r="D76" s="416"/>
      <c r="E76" s="416"/>
      <c r="F76" s="416"/>
    </row>
    <row r="77" spans="1:9" x14ac:dyDescent="0.2">
      <c r="B77" s="410" t="s">
        <v>949</v>
      </c>
      <c r="C77" s="12"/>
      <c r="D77" s="416"/>
      <c r="E77" s="416"/>
      <c r="F77" s="416"/>
    </row>
    <row r="78" spans="1:9" x14ac:dyDescent="0.2">
      <c r="B78" s="415"/>
      <c r="C78" s="416"/>
      <c r="D78" s="416"/>
      <c r="E78" s="416"/>
      <c r="F78" s="416"/>
    </row>
    <row r="80" spans="1:9" ht="15" x14ac:dyDescent="0.25">
      <c r="B80" s="273" t="s">
        <v>711</v>
      </c>
      <c r="E80" s="537"/>
      <c r="G80" s="538"/>
      <c r="I80" s="538"/>
    </row>
    <row r="81" spans="1:11" x14ac:dyDescent="0.2">
      <c r="A81" s="340"/>
      <c r="B81" s="118" t="s">
        <v>195</v>
      </c>
      <c r="C81" s="118">
        <v>2022</v>
      </c>
      <c r="D81" s="118">
        <v>2027</v>
      </c>
      <c r="E81" s="118" t="s">
        <v>196</v>
      </c>
      <c r="F81" s="118">
        <v>2032</v>
      </c>
      <c r="G81" s="544" t="s">
        <v>986</v>
      </c>
      <c r="H81" s="540">
        <v>2042</v>
      </c>
      <c r="I81" s="539" t="s">
        <v>987</v>
      </c>
      <c r="J81" s="539" t="s">
        <v>991</v>
      </c>
    </row>
    <row r="82" spans="1:11" x14ac:dyDescent="0.2">
      <c r="B82" s="68" t="s">
        <v>197</v>
      </c>
      <c r="C82" s="285">
        <v>43669</v>
      </c>
      <c r="D82" s="285">
        <v>44520</v>
      </c>
      <c r="E82" s="286">
        <f>D82/C82-100%</f>
        <v>1.9487508301083256E-2</v>
      </c>
      <c r="F82" s="285">
        <v>45028</v>
      </c>
      <c r="G82" s="286">
        <f>F82/D82-100%</f>
        <v>1.1410601976639789E-2</v>
      </c>
      <c r="H82" s="285">
        <v>45927</v>
      </c>
      <c r="I82" s="286">
        <f>H82/F82-100%</f>
        <v>1.9965354890290499E-2</v>
      </c>
      <c r="J82" s="542">
        <f>(H82-C82)/C82</f>
        <v>5.170716068607021E-2</v>
      </c>
    </row>
    <row r="83" spans="1:11" x14ac:dyDescent="0.2">
      <c r="B83" s="68" t="s">
        <v>198</v>
      </c>
      <c r="C83" s="285">
        <v>43651</v>
      </c>
      <c r="D83" s="285">
        <v>44420</v>
      </c>
      <c r="E83" s="286">
        <f t="shared" ref="E83:E84" si="4">D83/C83-100%</f>
        <v>1.7617007628691228E-2</v>
      </c>
      <c r="F83" s="285">
        <v>44831</v>
      </c>
      <c r="G83" s="286">
        <f t="shared" ref="G83:G84" si="5">F83/D83-100%</f>
        <v>9.2525889239081227E-3</v>
      </c>
      <c r="H83" s="285">
        <v>45467</v>
      </c>
      <c r="I83" s="286">
        <f t="shared" ref="I83" si="6">H83/F83-100%</f>
        <v>1.4186611942629046E-2</v>
      </c>
      <c r="J83" s="543">
        <f t="shared" ref="J83:J87" si="7">(H83-C83)/C83</f>
        <v>4.1602712423541272E-2</v>
      </c>
    </row>
    <row r="84" spans="1:11" x14ac:dyDescent="0.2">
      <c r="B84" s="68" t="s">
        <v>199</v>
      </c>
      <c r="C84" s="285">
        <v>43691</v>
      </c>
      <c r="D84" s="285">
        <v>44631</v>
      </c>
      <c r="E84" s="286">
        <f t="shared" si="4"/>
        <v>2.1514728433773556E-2</v>
      </c>
      <c r="F84" s="285">
        <v>45277</v>
      </c>
      <c r="G84" s="286">
        <f t="shared" si="5"/>
        <v>1.447424435930178E-2</v>
      </c>
      <c r="H84" s="285">
        <v>46506</v>
      </c>
      <c r="I84" s="286">
        <f>H84/F84-100%</f>
        <v>2.7144024559931035E-2</v>
      </c>
      <c r="J84" s="543">
        <f t="shared" si="7"/>
        <v>6.4429745256460141E-2</v>
      </c>
    </row>
    <row r="85" spans="1:11" x14ac:dyDescent="0.2">
      <c r="B85" s="68" t="s">
        <v>594</v>
      </c>
      <c r="C85" s="285">
        <v>2537972</v>
      </c>
      <c r="D85" s="285">
        <v>2589105</v>
      </c>
      <c r="E85" s="286">
        <f>D85/C85-100%</f>
        <v>2.0147188385057024E-2</v>
      </c>
      <c r="F85" s="285">
        <v>2631658</v>
      </c>
      <c r="G85" s="286">
        <f>F85/D85-100%</f>
        <v>1.6435409147176339E-2</v>
      </c>
      <c r="H85" s="285">
        <v>2709804</v>
      </c>
      <c r="I85" s="286">
        <f>H85/F85-100%</f>
        <v>2.9694587974577136E-2</v>
      </c>
      <c r="J85" s="542">
        <f t="shared" si="7"/>
        <v>6.7704450640117389E-2</v>
      </c>
    </row>
    <row r="86" spans="1:11" x14ac:dyDescent="0.2">
      <c r="B86" s="68" t="s">
        <v>595</v>
      </c>
      <c r="C86" s="285">
        <v>2535880</v>
      </c>
      <c r="D86" s="285">
        <v>2578631</v>
      </c>
      <c r="E86" s="286">
        <f>D86/C86-100%</f>
        <v>1.6858447560610168E-2</v>
      </c>
      <c r="F86" s="285">
        <v>2610458</v>
      </c>
      <c r="G86" s="286">
        <f>F86/D86-100%</f>
        <v>1.2342595741694051E-2</v>
      </c>
      <c r="H86" s="285">
        <v>2664220</v>
      </c>
      <c r="I86" s="286">
        <f>H86/F86-100%</f>
        <v>2.0594853470157437E-2</v>
      </c>
      <c r="J86" s="543">
        <f t="shared" si="7"/>
        <v>5.0609650298910042E-2</v>
      </c>
    </row>
    <row r="87" spans="1:11" x14ac:dyDescent="0.2">
      <c r="B87" s="68" t="s">
        <v>596</v>
      </c>
      <c r="C87" s="285">
        <v>2540480</v>
      </c>
      <c r="D87" s="285">
        <v>2600287</v>
      </c>
      <c r="E87" s="286">
        <f>D87/C87-100%</f>
        <v>2.3541614183146597E-2</v>
      </c>
      <c r="F87" s="285">
        <v>2653668</v>
      </c>
      <c r="G87" s="286">
        <f>F87/D87-100%</f>
        <v>2.052888777277273E-2</v>
      </c>
      <c r="H87" s="285">
        <v>2756433</v>
      </c>
      <c r="I87" s="286">
        <f>H87/F87-100%</f>
        <v>3.8725643147522693E-2</v>
      </c>
      <c r="J87" s="543">
        <f t="shared" si="7"/>
        <v>8.5004802242095986E-2</v>
      </c>
    </row>
    <row r="88" spans="1:11" x14ac:dyDescent="0.2">
      <c r="B88" s="123" t="s">
        <v>200</v>
      </c>
    </row>
    <row r="90" spans="1:11" ht="15" x14ac:dyDescent="0.2">
      <c r="B90" s="351" t="s">
        <v>713</v>
      </c>
      <c r="C90" s="340"/>
      <c r="D90" s="340"/>
    </row>
    <row r="91" spans="1:11" x14ac:dyDescent="0.2">
      <c r="A91" s="340"/>
      <c r="B91" s="118" t="s">
        <v>38</v>
      </c>
      <c r="C91" s="118">
        <v>2018</v>
      </c>
      <c r="D91" s="118">
        <v>2022</v>
      </c>
      <c r="E91" s="118">
        <v>2027</v>
      </c>
      <c r="F91" s="118">
        <v>2032</v>
      </c>
      <c r="G91" s="118">
        <v>2042</v>
      </c>
      <c r="H91" s="118" t="s">
        <v>216</v>
      </c>
      <c r="I91" s="118" t="s">
        <v>217</v>
      </c>
      <c r="J91" s="208"/>
      <c r="K91" s="208"/>
    </row>
    <row r="92" spans="1:11" x14ac:dyDescent="0.2">
      <c r="B92" s="68" t="s">
        <v>218</v>
      </c>
      <c r="C92" s="285">
        <v>3395</v>
      </c>
      <c r="D92" s="285">
        <v>3368</v>
      </c>
      <c r="E92" s="285">
        <v>3125</v>
      </c>
      <c r="F92" s="285">
        <v>3083</v>
      </c>
      <c r="G92" s="285">
        <v>2805</v>
      </c>
      <c r="H92" s="287">
        <f>(F92-C92)/C92</f>
        <v>-9.1899852724594999E-2</v>
      </c>
      <c r="I92" s="287">
        <f>(G92-C92)/C92</f>
        <v>-0.17378497790868924</v>
      </c>
      <c r="J92" s="209"/>
      <c r="K92" s="209"/>
    </row>
    <row r="93" spans="1:11" x14ac:dyDescent="0.2">
      <c r="B93" s="68" t="s">
        <v>219</v>
      </c>
      <c r="C93" s="288">
        <v>8913</v>
      </c>
      <c r="D93" s="288">
        <v>9111</v>
      </c>
      <c r="E93" s="288">
        <v>9352</v>
      </c>
      <c r="F93" s="288">
        <v>9080</v>
      </c>
      <c r="G93" s="288">
        <v>8485</v>
      </c>
      <c r="H93" s="287">
        <f t="shared" ref="H93:H97" si="8">(F93-C93)/C93</f>
        <v>1.8736676764276899E-2</v>
      </c>
      <c r="I93" s="287">
        <f t="shared" ref="I93:I97" si="9">(G93-C93)/C93</f>
        <v>-4.8019746437787503E-2</v>
      </c>
      <c r="J93" s="209"/>
      <c r="K93" s="209"/>
    </row>
    <row r="94" spans="1:11" x14ac:dyDescent="0.2">
      <c r="B94" s="68" t="s">
        <v>220</v>
      </c>
      <c r="C94" s="285">
        <v>13017</v>
      </c>
      <c r="D94" s="285">
        <v>12555</v>
      </c>
      <c r="E94" s="285">
        <v>11464</v>
      </c>
      <c r="F94" s="285">
        <v>10765</v>
      </c>
      <c r="G94" s="285">
        <v>11249</v>
      </c>
      <c r="H94" s="287">
        <f t="shared" si="8"/>
        <v>-0.17300453253437811</v>
      </c>
      <c r="I94" s="287">
        <f t="shared" si="9"/>
        <v>-0.13582238611047093</v>
      </c>
      <c r="J94" s="209"/>
      <c r="K94" s="209"/>
    </row>
    <row r="95" spans="1:11" x14ac:dyDescent="0.2">
      <c r="B95" s="68" t="s">
        <v>221</v>
      </c>
      <c r="C95" s="288">
        <v>9877</v>
      </c>
      <c r="D95" s="288">
        <v>10111</v>
      </c>
      <c r="E95" s="288">
        <v>10874</v>
      </c>
      <c r="F95" s="288">
        <v>11314</v>
      </c>
      <c r="G95" s="288">
        <v>9883</v>
      </c>
      <c r="H95" s="287">
        <f t="shared" si="8"/>
        <v>0.14548952110964869</v>
      </c>
      <c r="I95" s="287">
        <f t="shared" si="9"/>
        <v>6.0747190442442039E-4</v>
      </c>
      <c r="J95" s="209"/>
      <c r="K95" s="209"/>
    </row>
    <row r="96" spans="1:11" x14ac:dyDescent="0.2">
      <c r="B96" s="68" t="s">
        <v>222</v>
      </c>
      <c r="C96" s="285">
        <v>7352</v>
      </c>
      <c r="D96" s="285">
        <v>8525</v>
      </c>
      <c r="E96" s="285">
        <v>9705</v>
      </c>
      <c r="F96" s="285">
        <v>10785</v>
      </c>
      <c r="G96" s="285">
        <v>13507</v>
      </c>
      <c r="H96" s="287">
        <f t="shared" si="8"/>
        <v>0.46694776931447224</v>
      </c>
      <c r="I96" s="287">
        <f t="shared" si="9"/>
        <v>0.83718715995647441</v>
      </c>
      <c r="J96" s="209"/>
      <c r="K96" s="209"/>
    </row>
    <row r="97" spans="1:11" x14ac:dyDescent="0.2">
      <c r="B97" s="68" t="s">
        <v>223</v>
      </c>
      <c r="C97" s="289">
        <f>SUM(C92:C96)</f>
        <v>42554</v>
      </c>
      <c r="D97" s="289">
        <f t="shared" ref="D97:G97" si="10">SUM(D92:D96)</f>
        <v>43670</v>
      </c>
      <c r="E97" s="289">
        <f t="shared" si="10"/>
        <v>44520</v>
      </c>
      <c r="F97" s="289">
        <f t="shared" si="10"/>
        <v>45027</v>
      </c>
      <c r="G97" s="289">
        <f t="shared" si="10"/>
        <v>45929</v>
      </c>
      <c r="H97" s="287">
        <f t="shared" si="8"/>
        <v>5.8114395826479294E-2</v>
      </c>
      <c r="I97" s="287">
        <f t="shared" si="9"/>
        <v>7.9310993091131265E-2</v>
      </c>
      <c r="J97" s="209"/>
      <c r="K97" s="209"/>
    </row>
    <row r="98" spans="1:11" x14ac:dyDescent="0.2">
      <c r="B98" s="123" t="s">
        <v>200</v>
      </c>
      <c r="C98" s="345"/>
      <c r="D98" s="345"/>
      <c r="E98" s="345"/>
      <c r="F98" s="345"/>
      <c r="G98" s="345"/>
      <c r="H98" s="209"/>
      <c r="I98" s="209"/>
      <c r="J98" s="209"/>
      <c r="K98" s="209"/>
    </row>
    <row r="99" spans="1:11" x14ac:dyDescent="0.2">
      <c r="B99" s="123"/>
      <c r="C99" s="345"/>
      <c r="D99" s="345"/>
      <c r="E99" s="345"/>
      <c r="F99" s="345"/>
      <c r="G99" s="345"/>
      <c r="H99" s="209"/>
      <c r="I99" s="209"/>
      <c r="J99" s="209"/>
      <c r="K99" s="209"/>
    </row>
    <row r="100" spans="1:11" ht="15" x14ac:dyDescent="0.2">
      <c r="B100" s="351" t="s">
        <v>712</v>
      </c>
      <c r="C100" s="345"/>
      <c r="D100" s="345"/>
      <c r="E100" s="345"/>
      <c r="F100" s="345"/>
      <c r="G100" s="345"/>
      <c r="H100" s="209"/>
      <c r="I100" s="209"/>
      <c r="J100" s="209"/>
      <c r="K100" s="209"/>
    </row>
    <row r="101" spans="1:11" x14ac:dyDescent="0.2">
      <c r="A101" s="340"/>
      <c r="B101" s="328" t="s">
        <v>41</v>
      </c>
      <c r="C101" s="328">
        <v>2018</v>
      </c>
      <c r="D101" s="328">
        <v>2022</v>
      </c>
      <c r="E101" s="328">
        <v>2027</v>
      </c>
      <c r="F101" s="328">
        <v>2032</v>
      </c>
      <c r="G101" s="328">
        <v>2042</v>
      </c>
      <c r="H101" s="328" t="s">
        <v>216</v>
      </c>
      <c r="I101" s="328" t="s">
        <v>217</v>
      </c>
    </row>
    <row r="102" spans="1:11" x14ac:dyDescent="0.2">
      <c r="B102" s="68" t="s">
        <v>218</v>
      </c>
      <c r="C102" s="285">
        <v>258182</v>
      </c>
      <c r="D102" s="285">
        <v>244180</v>
      </c>
      <c r="E102" s="285">
        <v>230846</v>
      </c>
      <c r="F102" s="285">
        <v>234118</v>
      </c>
      <c r="G102" s="285">
        <v>228171</v>
      </c>
      <c r="H102" s="287">
        <f>(F102-C102)/C102</f>
        <v>-9.3205568165092845E-2</v>
      </c>
      <c r="I102" s="287">
        <f>(G102-C102)/C102</f>
        <v>-0.11623970687344587</v>
      </c>
    </row>
    <row r="103" spans="1:11" x14ac:dyDescent="0.2">
      <c r="B103" s="68" t="s">
        <v>219</v>
      </c>
      <c r="C103" s="285">
        <v>583082</v>
      </c>
      <c r="D103" s="285">
        <v>620739</v>
      </c>
      <c r="E103" s="285">
        <v>642426</v>
      </c>
      <c r="F103" s="285">
        <v>635197</v>
      </c>
      <c r="G103" s="285">
        <v>595562</v>
      </c>
      <c r="H103" s="287">
        <f t="shared" ref="H103:H107" si="11">(F103-C103)/C103</f>
        <v>8.937850936917964E-2</v>
      </c>
      <c r="I103" s="287">
        <f t="shared" ref="I103:I107" si="12">(G103-C103)/C103</f>
        <v>2.1403507568403757E-2</v>
      </c>
    </row>
    <row r="104" spans="1:11" x14ac:dyDescent="0.2">
      <c r="B104" s="68" t="s">
        <v>220</v>
      </c>
      <c r="C104" s="285">
        <v>743256</v>
      </c>
      <c r="D104" s="285">
        <v>715269</v>
      </c>
      <c r="E104" s="285">
        <v>670172</v>
      </c>
      <c r="F104" s="285">
        <v>654662</v>
      </c>
      <c r="G104" s="285">
        <v>723436</v>
      </c>
      <c r="H104" s="287">
        <f t="shared" si="11"/>
        <v>-0.1191971541433907</v>
      </c>
      <c r="I104" s="287">
        <f t="shared" si="12"/>
        <v>-2.6666451397634194E-2</v>
      </c>
    </row>
    <row r="105" spans="1:11" x14ac:dyDescent="0.2">
      <c r="B105" s="68" t="s">
        <v>221</v>
      </c>
      <c r="C105" s="285">
        <v>534746</v>
      </c>
      <c r="D105" s="285">
        <v>555063</v>
      </c>
      <c r="E105" s="285">
        <v>595746</v>
      </c>
      <c r="F105" s="285">
        <v>615565</v>
      </c>
      <c r="G105" s="285">
        <v>551042</v>
      </c>
      <c r="H105" s="287">
        <f t="shared" si="11"/>
        <v>0.15113530535992789</v>
      </c>
      <c r="I105" s="287">
        <f t="shared" si="12"/>
        <v>3.0474281247545563E-2</v>
      </c>
    </row>
    <row r="106" spans="1:11" x14ac:dyDescent="0.2">
      <c r="B106" s="68" t="s">
        <v>222</v>
      </c>
      <c r="C106" s="285">
        <v>358008</v>
      </c>
      <c r="D106" s="285">
        <v>402720</v>
      </c>
      <c r="E106" s="285">
        <v>449920</v>
      </c>
      <c r="F106" s="285">
        <v>492115</v>
      </c>
      <c r="G106" s="285">
        <v>611595</v>
      </c>
      <c r="H106" s="287">
        <f t="shared" si="11"/>
        <v>0.37459218788406962</v>
      </c>
      <c r="I106" s="287">
        <f t="shared" si="12"/>
        <v>0.70832774686599187</v>
      </c>
    </row>
    <row r="107" spans="1:11" x14ac:dyDescent="0.2">
      <c r="B107" s="68" t="s">
        <v>223</v>
      </c>
      <c r="C107" s="289">
        <f>SUM(C102:C106)</f>
        <v>2477274</v>
      </c>
      <c r="D107" s="289">
        <f t="shared" ref="D107:G107" si="13">SUM(D102:D106)</f>
        <v>2537971</v>
      </c>
      <c r="E107" s="289">
        <f t="shared" si="13"/>
        <v>2589110</v>
      </c>
      <c r="F107" s="289">
        <f t="shared" si="13"/>
        <v>2631657</v>
      </c>
      <c r="G107" s="289">
        <f t="shared" si="13"/>
        <v>2709806</v>
      </c>
      <c r="H107" s="287">
        <f t="shared" si="11"/>
        <v>6.2319711101799798E-2</v>
      </c>
      <c r="I107" s="287">
        <f t="shared" si="12"/>
        <v>9.3866080215591813E-2</v>
      </c>
    </row>
    <row r="108" spans="1:11" x14ac:dyDescent="0.2">
      <c r="B108" s="123" t="s">
        <v>200</v>
      </c>
      <c r="C108" s="345"/>
      <c r="D108" s="345"/>
      <c r="E108" s="345"/>
      <c r="F108" s="345"/>
      <c r="G108" s="345"/>
      <c r="H108" s="209"/>
      <c r="I108" s="209"/>
    </row>
    <row r="113" spans="1:11" x14ac:dyDescent="0.2">
      <c r="E113" s="345"/>
      <c r="F113" s="345"/>
      <c r="G113" s="345"/>
      <c r="H113" s="209"/>
      <c r="I113" s="209"/>
      <c r="J113" s="209"/>
      <c r="K113" s="209"/>
    </row>
    <row r="114" spans="1:11" ht="15" x14ac:dyDescent="0.2">
      <c r="B114" s="351" t="s">
        <v>714</v>
      </c>
      <c r="C114" s="345"/>
      <c r="D114" s="345"/>
      <c r="E114" s="345"/>
      <c r="F114" s="345"/>
      <c r="G114" s="345"/>
      <c r="H114" s="209"/>
      <c r="I114" s="209"/>
      <c r="J114" s="209"/>
      <c r="K114" s="209"/>
    </row>
    <row r="115" spans="1:11" x14ac:dyDescent="0.2">
      <c r="A115" s="340"/>
      <c r="B115" s="329" t="s">
        <v>606</v>
      </c>
      <c r="C115" s="329" t="s">
        <v>607</v>
      </c>
      <c r="D115" s="329" t="s">
        <v>608</v>
      </c>
      <c r="E115" s="345"/>
      <c r="F115" s="345"/>
      <c r="G115" s="345"/>
      <c r="H115" s="209"/>
      <c r="I115" s="209"/>
      <c r="J115" s="209"/>
      <c r="K115" s="209"/>
    </row>
    <row r="116" spans="1:11" x14ac:dyDescent="0.2">
      <c r="B116" s="68" t="s">
        <v>218</v>
      </c>
      <c r="C116" s="287">
        <v>-0.17378497790868924</v>
      </c>
      <c r="D116" s="287">
        <v>-0.11623970687344587</v>
      </c>
      <c r="E116" s="345"/>
      <c r="F116" s="345"/>
      <c r="G116" s="345"/>
      <c r="H116" s="209"/>
      <c r="I116" s="209"/>
      <c r="J116" s="209"/>
      <c r="K116" s="209"/>
    </row>
    <row r="117" spans="1:11" x14ac:dyDescent="0.2">
      <c r="B117" s="68" t="s">
        <v>219</v>
      </c>
      <c r="C117" s="287">
        <v>-4.8019746437787503E-2</v>
      </c>
      <c r="D117" s="287">
        <v>2.1403507568403757E-2</v>
      </c>
      <c r="E117" s="345"/>
      <c r="F117" s="345"/>
      <c r="G117" s="345"/>
      <c r="H117" s="209"/>
      <c r="I117" s="209"/>
      <c r="J117" s="209"/>
      <c r="K117" s="209"/>
    </row>
    <row r="118" spans="1:11" x14ac:dyDescent="0.2">
      <c r="B118" s="68" t="s">
        <v>220</v>
      </c>
      <c r="C118" s="287">
        <v>-0.13582238611047093</v>
      </c>
      <c r="D118" s="287">
        <v>-2.6666451397634194E-2</v>
      </c>
      <c r="E118" s="345"/>
      <c r="F118" s="345"/>
      <c r="G118" s="345"/>
      <c r="H118" s="209"/>
      <c r="I118" s="209"/>
      <c r="J118" s="209"/>
      <c r="K118" s="209"/>
    </row>
    <row r="119" spans="1:11" x14ac:dyDescent="0.2">
      <c r="B119" s="68" t="s">
        <v>221</v>
      </c>
      <c r="C119" s="287">
        <v>6.0747190442442039E-4</v>
      </c>
      <c r="D119" s="287">
        <v>3.0474281247545563E-2</v>
      </c>
      <c r="E119" s="345"/>
      <c r="F119" s="345"/>
      <c r="G119" s="345"/>
      <c r="H119" s="209"/>
      <c r="I119" s="209"/>
      <c r="J119" s="209"/>
      <c r="K119" s="209"/>
    </row>
    <row r="120" spans="1:11" x14ac:dyDescent="0.2">
      <c r="B120" s="68" t="s">
        <v>222</v>
      </c>
      <c r="C120" s="287">
        <v>0.83718715995647441</v>
      </c>
      <c r="D120" s="287">
        <v>0.70832774686599187</v>
      </c>
      <c r="E120" s="345"/>
      <c r="F120" s="345"/>
      <c r="G120" s="209"/>
      <c r="H120" s="209"/>
      <c r="I120" s="209"/>
      <c r="J120" s="209"/>
    </row>
    <row r="121" spans="1:11" x14ac:dyDescent="0.2">
      <c r="B121" s="68" t="s">
        <v>223</v>
      </c>
      <c r="C121" s="287">
        <v>7.9310993091131265E-2</v>
      </c>
      <c r="D121" s="287">
        <v>9.3866080215591813E-2</v>
      </c>
    </row>
    <row r="122" spans="1:11" x14ac:dyDescent="0.2">
      <c r="B122" s="123" t="s">
        <v>200</v>
      </c>
      <c r="C122" s="345"/>
      <c r="D122" s="345"/>
      <c r="E122" s="345"/>
      <c r="F122" s="345"/>
      <c r="G122" s="345"/>
      <c r="H122" s="209"/>
      <c r="I122" s="209"/>
      <c r="J122" s="209"/>
      <c r="K122" s="209"/>
    </row>
    <row r="123" spans="1:11" x14ac:dyDescent="0.2">
      <c r="B123" s="123"/>
    </row>
    <row r="128" spans="1:11" x14ac:dyDescent="0.2">
      <c r="B128" s="345"/>
      <c r="C128" s="437"/>
      <c r="F128" s="345"/>
      <c r="G128" s="345"/>
      <c r="H128" s="209"/>
      <c r="I128" s="209"/>
    </row>
    <row r="129" spans="1:8" ht="15" x14ac:dyDescent="0.2">
      <c r="B129" s="227" t="s">
        <v>715</v>
      </c>
    </row>
    <row r="130" spans="1:8" x14ac:dyDescent="0.2">
      <c r="A130" s="340"/>
      <c r="B130" s="118" t="s">
        <v>224</v>
      </c>
      <c r="C130" s="118">
        <v>2018</v>
      </c>
      <c r="D130" s="118">
        <v>2028</v>
      </c>
      <c r="E130" s="118">
        <v>2038</v>
      </c>
      <c r="F130" s="118" t="s">
        <v>225</v>
      </c>
      <c r="G130" s="118" t="s">
        <v>226</v>
      </c>
      <c r="H130" s="118" t="s">
        <v>227</v>
      </c>
    </row>
    <row r="131" spans="1:8" x14ac:dyDescent="0.2">
      <c r="B131" s="68" t="s">
        <v>228</v>
      </c>
      <c r="C131" s="285">
        <v>13316</v>
      </c>
      <c r="D131" s="285">
        <v>14595</v>
      </c>
      <c r="E131" s="285">
        <v>15515</v>
      </c>
      <c r="F131" s="290">
        <f t="shared" ref="F131:G135" si="14">(D131-C131)/C131</f>
        <v>9.6049864824271552E-2</v>
      </c>
      <c r="G131" s="290">
        <f t="shared" si="14"/>
        <v>6.3035286056868797E-2</v>
      </c>
      <c r="H131" s="290">
        <f>(E131-C131)/C131</f>
        <v>0.16513968158606188</v>
      </c>
    </row>
    <row r="132" spans="1:8" x14ac:dyDescent="0.2">
      <c r="B132" s="68" t="s">
        <v>229</v>
      </c>
      <c r="C132" s="285">
        <v>2502</v>
      </c>
      <c r="D132" s="285">
        <v>2648</v>
      </c>
      <c r="E132" s="285">
        <v>2538</v>
      </c>
      <c r="F132" s="290">
        <f t="shared" si="14"/>
        <v>5.8353317346123104E-2</v>
      </c>
      <c r="G132" s="290">
        <f t="shared" si="14"/>
        <v>-4.1540785498489427E-2</v>
      </c>
      <c r="H132" s="290">
        <f t="shared" ref="H132:H135" si="15">(E132-C132)/C132</f>
        <v>1.4388489208633094E-2</v>
      </c>
    </row>
    <row r="133" spans="1:8" x14ac:dyDescent="0.2">
      <c r="B133" s="68" t="s">
        <v>188</v>
      </c>
      <c r="C133" s="285">
        <v>14933</v>
      </c>
      <c r="D133" s="285">
        <v>16172</v>
      </c>
      <c r="E133" s="285">
        <v>16605</v>
      </c>
      <c r="F133" s="290">
        <f t="shared" si="14"/>
        <v>8.2970602022366571E-2</v>
      </c>
      <c r="G133" s="290">
        <f t="shared" si="14"/>
        <v>2.6774672273064556E-2</v>
      </c>
      <c r="H133" s="290">
        <f t="shared" si="15"/>
        <v>0.11196678497287886</v>
      </c>
    </row>
    <row r="134" spans="1:8" x14ac:dyDescent="0.2">
      <c r="B134" s="68" t="s">
        <v>230</v>
      </c>
      <c r="C134" s="285">
        <v>8374</v>
      </c>
      <c r="D134" s="285">
        <v>7924</v>
      </c>
      <c r="E134" s="285">
        <v>7696</v>
      </c>
      <c r="F134" s="290">
        <f t="shared" si="14"/>
        <v>-5.3737759732505372E-2</v>
      </c>
      <c r="G134" s="290">
        <f t="shared" si="14"/>
        <v>-2.8773346794548207E-2</v>
      </c>
      <c r="H134" s="290">
        <f t="shared" si="15"/>
        <v>-8.0964891330308097E-2</v>
      </c>
    </row>
    <row r="135" spans="1:8" x14ac:dyDescent="0.2">
      <c r="B135" s="68" t="s">
        <v>191</v>
      </c>
      <c r="C135" s="285">
        <v>3429</v>
      </c>
      <c r="D135" s="285">
        <v>3309</v>
      </c>
      <c r="E135" s="285">
        <v>3291</v>
      </c>
      <c r="F135" s="290">
        <f t="shared" si="14"/>
        <v>-3.4995625546806651E-2</v>
      </c>
      <c r="G135" s="290">
        <f t="shared" si="14"/>
        <v>-5.4397098821396192E-3</v>
      </c>
      <c r="H135" s="290">
        <f t="shared" si="15"/>
        <v>-4.0244969378827648E-2</v>
      </c>
    </row>
    <row r="136" spans="1:8" x14ac:dyDescent="0.2">
      <c r="B136" s="123" t="s">
        <v>200</v>
      </c>
    </row>
    <row r="137" spans="1:8" x14ac:dyDescent="0.2">
      <c r="B137" s="123"/>
    </row>
    <row r="138" spans="1:8" ht="15" x14ac:dyDescent="0.2">
      <c r="B138" s="227" t="s">
        <v>716</v>
      </c>
    </row>
    <row r="139" spans="1:8" x14ac:dyDescent="0.2">
      <c r="A139" s="340"/>
      <c r="B139" s="328" t="s">
        <v>597</v>
      </c>
      <c r="C139" s="328">
        <v>2018</v>
      </c>
      <c r="D139" s="328">
        <v>2028</v>
      </c>
      <c r="E139" s="328">
        <v>2038</v>
      </c>
      <c r="F139" s="328" t="s">
        <v>225</v>
      </c>
      <c r="G139" s="328" t="s">
        <v>226</v>
      </c>
      <c r="H139" s="328" t="s">
        <v>227</v>
      </c>
    </row>
    <row r="140" spans="1:8" x14ac:dyDescent="0.2">
      <c r="B140" s="68" t="s">
        <v>228</v>
      </c>
      <c r="C140" s="285">
        <f>[2]Scotland!$C$22+[2]Scotland!$C$39</f>
        <v>892687</v>
      </c>
      <c r="D140" s="285">
        <f>[2]Scotland!$M$22+[2]Scotland!$M$39</f>
        <v>965062</v>
      </c>
      <c r="E140" s="285">
        <f>[2]Scotland!$W$22+[2]Scotland!$W$39</f>
        <v>1016125</v>
      </c>
      <c r="F140" s="290">
        <f t="shared" ref="F140:F144" si="16">(D140-C140)/C140</f>
        <v>8.1075449737702018E-2</v>
      </c>
      <c r="G140" s="290">
        <f t="shared" ref="G140:G144" si="17">(E140-D140)/D140</f>
        <v>5.291162640327772E-2</v>
      </c>
      <c r="H140" s="290">
        <f>(E140-C140)/C140</f>
        <v>0.13827691004797873</v>
      </c>
    </row>
    <row r="141" spans="1:8" x14ac:dyDescent="0.2">
      <c r="B141" s="68" t="s">
        <v>229</v>
      </c>
      <c r="C141" s="285">
        <v>154526</v>
      </c>
      <c r="D141" s="285">
        <v>157895</v>
      </c>
      <c r="E141" s="285">
        <v>156652</v>
      </c>
      <c r="F141" s="290">
        <f t="shared" si="16"/>
        <v>2.1802156271436522E-2</v>
      </c>
      <c r="G141" s="290">
        <f t="shared" si="17"/>
        <v>-7.8723202127996446E-3</v>
      </c>
      <c r="H141" s="290">
        <f t="shared" ref="H141:H144" si="18">(E141-C141)/C141</f>
        <v>1.375820250313863E-2</v>
      </c>
    </row>
    <row r="142" spans="1:8" x14ac:dyDescent="0.2">
      <c r="B142" s="68" t="s">
        <v>188</v>
      </c>
      <c r="C142" s="285">
        <v>774680</v>
      </c>
      <c r="D142" s="285">
        <v>830592</v>
      </c>
      <c r="E142" s="285">
        <v>860419</v>
      </c>
      <c r="F142" s="290">
        <f t="shared" si="16"/>
        <v>7.2174317137398664E-2</v>
      </c>
      <c r="G142" s="290">
        <f t="shared" si="17"/>
        <v>3.5910531283710898E-2</v>
      </c>
      <c r="H142" s="290">
        <f t="shared" si="18"/>
        <v>0.11067666649455259</v>
      </c>
    </row>
    <row r="143" spans="1:8" x14ac:dyDescent="0.2">
      <c r="B143" s="68" t="s">
        <v>230</v>
      </c>
      <c r="C143" s="285">
        <v>445241</v>
      </c>
      <c r="D143" s="285">
        <v>441068</v>
      </c>
      <c r="E143" s="285">
        <v>443607</v>
      </c>
      <c r="F143" s="290">
        <f t="shared" si="16"/>
        <v>-9.3724522225042163E-3</v>
      </c>
      <c r="G143" s="290">
        <f t="shared" si="17"/>
        <v>5.7564819937061858E-3</v>
      </c>
      <c r="H143" s="290">
        <f t="shared" si="18"/>
        <v>-3.6699225812537478E-3</v>
      </c>
    </row>
    <row r="144" spans="1:8" x14ac:dyDescent="0.2">
      <c r="B144" s="68" t="s">
        <v>191</v>
      </c>
      <c r="C144" s="285">
        <v>210141</v>
      </c>
      <c r="D144" s="285">
        <v>203008</v>
      </c>
      <c r="E144" s="285">
        <v>206039</v>
      </c>
      <c r="F144" s="290">
        <f t="shared" si="16"/>
        <v>-3.3943875778643863E-2</v>
      </c>
      <c r="G144" s="290">
        <f t="shared" si="17"/>
        <v>1.4930446090794452E-2</v>
      </c>
      <c r="H144" s="290">
        <f t="shared" si="18"/>
        <v>-1.9520226895275078E-2</v>
      </c>
    </row>
    <row r="145" spans="1:11" x14ac:dyDescent="0.2">
      <c r="B145" s="123" t="s">
        <v>200</v>
      </c>
    </row>
    <row r="146" spans="1:11" x14ac:dyDescent="0.2">
      <c r="B146" s="123"/>
    </row>
    <row r="147" spans="1:11" x14ac:dyDescent="0.2">
      <c r="B147" s="123"/>
    </row>
    <row r="148" spans="1:11" x14ac:dyDescent="0.2">
      <c r="B148" s="123"/>
    </row>
    <row r="149" spans="1:11" x14ac:dyDescent="0.2">
      <c r="B149" s="123"/>
    </row>
    <row r="150" spans="1:11" x14ac:dyDescent="0.2">
      <c r="B150" s="123"/>
    </row>
    <row r="151" spans="1:11" ht="15" x14ac:dyDescent="0.2">
      <c r="A151" s="123"/>
      <c r="B151" s="227" t="s">
        <v>717</v>
      </c>
      <c r="C151" s="123"/>
      <c r="D151" s="123"/>
      <c r="E151" s="345"/>
      <c r="F151" s="345"/>
      <c r="G151" s="345"/>
      <c r="H151" s="209"/>
      <c r="I151" s="209"/>
      <c r="J151" s="209"/>
      <c r="K151" s="209"/>
    </row>
    <row r="152" spans="1:11" x14ac:dyDescent="0.2">
      <c r="A152" s="340"/>
      <c r="B152" s="329" t="s">
        <v>606</v>
      </c>
      <c r="C152" s="329" t="s">
        <v>609</v>
      </c>
      <c r="D152" s="329" t="s">
        <v>610</v>
      </c>
      <c r="E152" s="345"/>
      <c r="F152" s="345"/>
      <c r="G152" s="345"/>
      <c r="H152" s="209"/>
      <c r="I152" s="209"/>
      <c r="J152" s="209"/>
      <c r="K152" s="209"/>
    </row>
    <row r="153" spans="1:11" x14ac:dyDescent="0.2">
      <c r="B153" s="68" t="s">
        <v>228</v>
      </c>
      <c r="C153" s="287">
        <v>0.16513968158606188</v>
      </c>
      <c r="D153" s="287">
        <v>0.13827691004797873</v>
      </c>
      <c r="E153" s="345"/>
      <c r="F153" s="345"/>
      <c r="G153" s="345"/>
      <c r="H153" s="209"/>
      <c r="I153" s="209"/>
      <c r="J153" s="209"/>
      <c r="K153" s="209"/>
    </row>
    <row r="154" spans="1:11" x14ac:dyDescent="0.2">
      <c r="B154" s="68" t="s">
        <v>229</v>
      </c>
      <c r="C154" s="287">
        <v>1.4388489208633094E-2</v>
      </c>
      <c r="D154" s="287">
        <v>1.375820250313863E-2</v>
      </c>
      <c r="E154" s="345"/>
      <c r="F154" s="345"/>
      <c r="G154" s="345"/>
      <c r="H154" s="209"/>
      <c r="I154" s="209"/>
      <c r="J154" s="209"/>
      <c r="K154" s="209"/>
    </row>
    <row r="155" spans="1:11" x14ac:dyDescent="0.2">
      <c r="B155" s="68" t="s">
        <v>188</v>
      </c>
      <c r="C155" s="287">
        <v>0.11196678497287886</v>
      </c>
      <c r="D155" s="287">
        <v>0.11067666649455259</v>
      </c>
      <c r="E155" s="345"/>
      <c r="F155" s="345"/>
      <c r="G155" s="345"/>
      <c r="H155" s="209"/>
      <c r="I155" s="209"/>
      <c r="J155" s="209"/>
      <c r="K155" s="209"/>
    </row>
    <row r="156" spans="1:11" x14ac:dyDescent="0.2">
      <c r="B156" s="68" t="s">
        <v>230</v>
      </c>
      <c r="C156" s="287">
        <v>-8.0964891330308097E-2</v>
      </c>
      <c r="D156" s="287">
        <v>-3.6699225812537478E-3</v>
      </c>
      <c r="E156" s="345"/>
      <c r="F156" s="345"/>
      <c r="G156" s="209"/>
      <c r="H156" s="209"/>
      <c r="I156" s="209"/>
      <c r="J156" s="209"/>
    </row>
    <row r="157" spans="1:11" x14ac:dyDescent="0.2">
      <c r="B157" s="68" t="s">
        <v>191</v>
      </c>
      <c r="C157" s="287">
        <v>-4.0244969378827648E-2</v>
      </c>
      <c r="D157" s="287">
        <v>-1.9520226895275078E-2</v>
      </c>
    </row>
    <row r="158" spans="1:11" x14ac:dyDescent="0.2">
      <c r="B158" s="123" t="s">
        <v>200</v>
      </c>
    </row>
    <row r="159" spans="1:11" x14ac:dyDescent="0.2">
      <c r="B159" s="123"/>
    </row>
    <row r="160" spans="1:11" x14ac:dyDescent="0.2">
      <c r="B160" s="123"/>
    </row>
    <row r="161" spans="1:8" x14ac:dyDescent="0.2">
      <c r="B161" s="123"/>
    </row>
    <row r="162" spans="1:8" x14ac:dyDescent="0.2">
      <c r="B162" s="123"/>
    </row>
    <row r="163" spans="1:8" x14ac:dyDescent="0.2">
      <c r="B163" s="123"/>
    </row>
    <row r="165" spans="1:8" ht="15" x14ac:dyDescent="0.2">
      <c r="B165" s="227" t="s">
        <v>718</v>
      </c>
      <c r="E165" s="79"/>
    </row>
    <row r="166" spans="1:8" x14ac:dyDescent="0.2">
      <c r="A166" s="340"/>
      <c r="B166" s="118" t="s">
        <v>224</v>
      </c>
      <c r="C166" s="118">
        <v>2018</v>
      </c>
      <c r="D166" s="118">
        <v>2028</v>
      </c>
      <c r="E166" s="118">
        <v>2038</v>
      </c>
      <c r="F166" s="118" t="s">
        <v>225</v>
      </c>
      <c r="G166" s="118" t="s">
        <v>226</v>
      </c>
      <c r="H166" s="118" t="s">
        <v>227</v>
      </c>
    </row>
    <row r="167" spans="1:8" x14ac:dyDescent="0.2">
      <c r="B167" s="68" t="s">
        <v>228</v>
      </c>
      <c r="C167" s="289">
        <v>13316</v>
      </c>
      <c r="D167" s="289">
        <v>14653</v>
      </c>
      <c r="E167" s="289">
        <v>15418</v>
      </c>
      <c r="F167" s="290">
        <f t="shared" ref="F167:G171" si="19">(D167-C167)/C167</f>
        <v>0.10040552718534095</v>
      </c>
      <c r="G167" s="290">
        <f t="shared" si="19"/>
        <v>5.2207739029550261E-2</v>
      </c>
      <c r="H167" s="290">
        <f>(E167-C167)/C167</f>
        <v>0.1578552117753079</v>
      </c>
    </row>
    <row r="168" spans="1:8" x14ac:dyDescent="0.2">
      <c r="B168" s="68" t="s">
        <v>229</v>
      </c>
      <c r="C168" s="289">
        <v>2502</v>
      </c>
      <c r="D168" s="289">
        <v>2630</v>
      </c>
      <c r="E168" s="289">
        <v>2495</v>
      </c>
      <c r="F168" s="290">
        <f t="shared" si="19"/>
        <v>5.1159072741806554E-2</v>
      </c>
      <c r="G168" s="290">
        <f t="shared" si="19"/>
        <v>-5.1330798479087454E-2</v>
      </c>
      <c r="H168" s="290">
        <f t="shared" ref="H168:H171" si="20">(E168-C168)/C168</f>
        <v>-2.7977617905675461E-3</v>
      </c>
    </row>
    <row r="169" spans="1:8" x14ac:dyDescent="0.2">
      <c r="B169" s="68" t="s">
        <v>188</v>
      </c>
      <c r="C169" s="289">
        <v>14933</v>
      </c>
      <c r="D169" s="289">
        <v>16144</v>
      </c>
      <c r="E169" s="289">
        <v>16517</v>
      </c>
      <c r="F169" s="290">
        <f t="shared" si="19"/>
        <v>8.1095560168753772E-2</v>
      </c>
      <c r="G169" s="290">
        <f t="shared" si="19"/>
        <v>2.310455896927651E-2</v>
      </c>
      <c r="H169" s="290">
        <f>(E169-C169)/C169</f>
        <v>0.10607379629009576</v>
      </c>
    </row>
    <row r="170" spans="1:8" x14ac:dyDescent="0.2">
      <c r="B170" s="68" t="s">
        <v>230</v>
      </c>
      <c r="C170" s="289">
        <v>8374</v>
      </c>
      <c r="D170" s="289">
        <v>7886</v>
      </c>
      <c r="E170" s="289">
        <v>7590</v>
      </c>
      <c r="F170" s="290">
        <f t="shared" si="19"/>
        <v>-5.8275614998805826E-2</v>
      </c>
      <c r="G170" s="290">
        <f t="shared" si="19"/>
        <v>-3.7534871924930255E-2</v>
      </c>
      <c r="H170" s="290">
        <f t="shared" si="20"/>
        <v>-9.3623119178409361E-2</v>
      </c>
    </row>
    <row r="171" spans="1:8" x14ac:dyDescent="0.2">
      <c r="B171" s="68" t="s">
        <v>191</v>
      </c>
      <c r="C171" s="289">
        <v>3429</v>
      </c>
      <c r="D171" s="289">
        <v>3305</v>
      </c>
      <c r="E171" s="289">
        <v>3274</v>
      </c>
      <c r="F171" s="290">
        <f t="shared" si="19"/>
        <v>-3.6162146398366873E-2</v>
      </c>
      <c r="G171" s="290">
        <f t="shared" si="19"/>
        <v>-9.3797276853252644E-3</v>
      </c>
      <c r="H171" s="290">
        <f t="shared" si="20"/>
        <v>-4.5202682997958592E-2</v>
      </c>
    </row>
    <row r="172" spans="1:8" x14ac:dyDescent="0.2">
      <c r="B172" s="123" t="s">
        <v>200</v>
      </c>
    </row>
    <row r="173" spans="1:8" x14ac:dyDescent="0.2">
      <c r="B173" s="123"/>
    </row>
    <row r="174" spans="1:8" ht="15" x14ac:dyDescent="0.2">
      <c r="B174" s="227" t="s">
        <v>719</v>
      </c>
    </row>
    <row r="175" spans="1:8" x14ac:dyDescent="0.2">
      <c r="A175" s="340"/>
      <c r="B175" s="328" t="s">
        <v>597</v>
      </c>
      <c r="C175" s="328">
        <v>2018</v>
      </c>
      <c r="D175" s="328">
        <v>2028</v>
      </c>
      <c r="E175" s="328">
        <v>2038</v>
      </c>
      <c r="F175" s="328" t="s">
        <v>225</v>
      </c>
      <c r="G175" s="328" t="s">
        <v>226</v>
      </c>
      <c r="H175" s="328" t="s">
        <v>227</v>
      </c>
    </row>
    <row r="176" spans="1:8" x14ac:dyDescent="0.2">
      <c r="B176" s="68" t="s">
        <v>228</v>
      </c>
      <c r="C176" s="289">
        <f>[3]Scotland!$C$22+[3]Scotland!$C$39</f>
        <v>892687</v>
      </c>
      <c r="D176" s="289">
        <f>[3]Scotland!$M$22+[3]Scotland!$M$39</f>
        <v>961180</v>
      </c>
      <c r="E176" s="289">
        <f>[3]Scotland!$W$22+[3]Scotland!$W$39</f>
        <v>1005099</v>
      </c>
      <c r="F176" s="290">
        <f t="shared" ref="F176:F180" si="21">(D176-C176)/C176</f>
        <v>7.6726781055397916E-2</v>
      </c>
      <c r="G176" s="290">
        <f t="shared" ref="G176:G180" si="22">(E176-D176)/D176</f>
        <v>4.5692794273705234E-2</v>
      </c>
      <c r="H176" s="290">
        <f>(E176-C176)/C176</f>
        <v>0.12592543635115108</v>
      </c>
    </row>
    <row r="177" spans="1:11" x14ac:dyDescent="0.2">
      <c r="B177" s="68" t="s">
        <v>229</v>
      </c>
      <c r="C177" s="289">
        <v>154526</v>
      </c>
      <c r="D177" s="289">
        <v>156371</v>
      </c>
      <c r="E177" s="289">
        <v>152711</v>
      </c>
      <c r="F177" s="290">
        <f t="shared" si="21"/>
        <v>1.1939738296467908E-2</v>
      </c>
      <c r="G177" s="290">
        <f t="shared" si="22"/>
        <v>-2.3405874490794329E-2</v>
      </c>
      <c r="H177" s="290">
        <f t="shared" ref="H177:H180" si="23">(E177-C177)/C177</f>
        <v>-1.1745596210346479E-2</v>
      </c>
    </row>
    <row r="178" spans="1:11" x14ac:dyDescent="0.2">
      <c r="B178" s="68" t="s">
        <v>188</v>
      </c>
      <c r="C178" s="289">
        <v>774680</v>
      </c>
      <c r="D178" s="289">
        <v>827327</v>
      </c>
      <c r="E178" s="289">
        <v>851931</v>
      </c>
      <c r="F178" s="290">
        <f t="shared" si="21"/>
        <v>6.7959673671709603E-2</v>
      </c>
      <c r="G178" s="290">
        <f t="shared" si="22"/>
        <v>2.9739147882276294E-2</v>
      </c>
      <c r="H178" s="290">
        <f t="shared" si="23"/>
        <v>9.971988433934012E-2</v>
      </c>
    </row>
    <row r="179" spans="1:11" x14ac:dyDescent="0.2">
      <c r="B179" s="68" t="s">
        <v>230</v>
      </c>
      <c r="C179" s="289">
        <v>445241</v>
      </c>
      <c r="D179" s="289">
        <v>437881</v>
      </c>
      <c r="E179" s="289">
        <v>433612</v>
      </c>
      <c r="F179" s="290">
        <f t="shared" si="21"/>
        <v>-1.6530373438205376E-2</v>
      </c>
      <c r="G179" s="290">
        <f t="shared" si="22"/>
        <v>-9.7492241042657704E-3</v>
      </c>
      <c r="H179" s="290">
        <f t="shared" si="23"/>
        <v>-2.6118439227294881E-2</v>
      </c>
    </row>
    <row r="180" spans="1:11" x14ac:dyDescent="0.2">
      <c r="B180" s="68" t="s">
        <v>191</v>
      </c>
      <c r="C180" s="289">
        <v>210141</v>
      </c>
      <c r="D180" s="289">
        <v>202346</v>
      </c>
      <c r="E180" s="289">
        <v>204093</v>
      </c>
      <c r="F180" s="290">
        <f t="shared" si="21"/>
        <v>-3.7094141552576607E-2</v>
      </c>
      <c r="G180" s="290">
        <f t="shared" si="22"/>
        <v>8.6337263894517308E-3</v>
      </c>
      <c r="H180" s="290">
        <f t="shared" si="23"/>
        <v>-2.878067583194141E-2</v>
      </c>
    </row>
    <row r="181" spans="1:11" x14ac:dyDescent="0.2">
      <c r="B181" s="123" t="s">
        <v>200</v>
      </c>
    </row>
    <row r="182" spans="1:11" x14ac:dyDescent="0.2">
      <c r="B182" s="123"/>
    </row>
    <row r="183" spans="1:11" x14ac:dyDescent="0.2">
      <c r="B183" s="123"/>
    </row>
    <row r="184" spans="1:11" ht="15" x14ac:dyDescent="0.25">
      <c r="B184"/>
    </row>
    <row r="185" spans="1:11" x14ac:dyDescent="0.2">
      <c r="B185" s="123"/>
    </row>
    <row r="186" spans="1:11" x14ac:dyDescent="0.2">
      <c r="B186" s="123"/>
    </row>
    <row r="187" spans="1:11" ht="15" x14ac:dyDescent="0.2">
      <c r="B187" s="227" t="s">
        <v>720</v>
      </c>
    </row>
    <row r="188" spans="1:11" x14ac:dyDescent="0.2">
      <c r="A188" s="340"/>
      <c r="B188" s="329" t="s">
        <v>606</v>
      </c>
      <c r="C188" s="329" t="s">
        <v>609</v>
      </c>
      <c r="D188" s="329" t="s">
        <v>610</v>
      </c>
      <c r="E188" s="345"/>
      <c r="F188" s="345"/>
      <c r="G188" s="345"/>
      <c r="H188" s="209"/>
      <c r="I188" s="209"/>
      <c r="J188" s="209"/>
      <c r="K188" s="209"/>
    </row>
    <row r="189" spans="1:11" x14ac:dyDescent="0.2">
      <c r="B189" s="68" t="s">
        <v>228</v>
      </c>
      <c r="C189" s="287">
        <v>0.1578552117753079</v>
      </c>
      <c r="D189" s="287">
        <v>0.12592543635115108</v>
      </c>
      <c r="E189" s="345"/>
      <c r="F189" s="345"/>
      <c r="G189" s="345"/>
      <c r="H189" s="209"/>
      <c r="I189" s="209"/>
      <c r="J189" s="209"/>
      <c r="K189" s="209"/>
    </row>
    <row r="190" spans="1:11" x14ac:dyDescent="0.2">
      <c r="B190" s="68" t="s">
        <v>229</v>
      </c>
      <c r="C190" s="287">
        <v>-2.7977617905675461E-3</v>
      </c>
      <c r="D190" s="287">
        <v>-1.1745596210346479E-2</v>
      </c>
      <c r="E190" s="345"/>
      <c r="F190" s="345"/>
      <c r="G190" s="345"/>
      <c r="H190" s="209"/>
      <c r="I190" s="209"/>
      <c r="J190" s="209"/>
      <c r="K190" s="209"/>
    </row>
    <row r="191" spans="1:11" x14ac:dyDescent="0.2">
      <c r="B191" s="68" t="s">
        <v>188</v>
      </c>
      <c r="C191" s="287">
        <v>0.10607379629009576</v>
      </c>
      <c r="D191" s="287">
        <v>9.971988433934012E-2</v>
      </c>
      <c r="E191" s="345"/>
      <c r="F191" s="345"/>
      <c r="G191" s="345"/>
      <c r="H191" s="209"/>
      <c r="I191" s="209"/>
      <c r="J191" s="209"/>
      <c r="K191" s="209"/>
    </row>
    <row r="192" spans="1:11" x14ac:dyDescent="0.2">
      <c r="B192" s="68" t="s">
        <v>230</v>
      </c>
      <c r="C192" s="287">
        <v>-9.3623119178409361E-2</v>
      </c>
      <c r="D192" s="287">
        <v>-2.6118439227294881E-2</v>
      </c>
      <c r="E192" s="345"/>
      <c r="F192" s="345"/>
      <c r="G192" s="345"/>
      <c r="H192" s="209"/>
      <c r="I192" s="209"/>
      <c r="J192" s="209"/>
      <c r="K192" s="209"/>
    </row>
    <row r="193" spans="1:10" x14ac:dyDescent="0.2">
      <c r="B193" s="68" t="s">
        <v>191</v>
      </c>
      <c r="C193" s="287">
        <v>-4.5202682997958592E-2</v>
      </c>
      <c r="D193" s="287">
        <v>-2.878067583194141E-2</v>
      </c>
      <c r="E193" s="345"/>
      <c r="F193" s="345"/>
      <c r="G193" s="209"/>
      <c r="H193" s="209"/>
      <c r="I193" s="209"/>
      <c r="J193" s="209"/>
    </row>
    <row r="194" spans="1:10" x14ac:dyDescent="0.2">
      <c r="B194" s="123" t="s">
        <v>200</v>
      </c>
    </row>
    <row r="202" spans="1:10" ht="15" x14ac:dyDescent="0.2">
      <c r="B202" s="227" t="s">
        <v>721</v>
      </c>
      <c r="E202" s="79"/>
    </row>
    <row r="203" spans="1:10" x14ac:dyDescent="0.2">
      <c r="A203" s="340"/>
      <c r="B203" s="118" t="s">
        <v>224</v>
      </c>
      <c r="C203" s="118">
        <v>2018</v>
      </c>
      <c r="D203" s="118">
        <v>2028</v>
      </c>
      <c r="E203" s="118">
        <v>2038</v>
      </c>
      <c r="F203" s="118" t="s">
        <v>225</v>
      </c>
      <c r="G203" s="118" t="s">
        <v>226</v>
      </c>
      <c r="H203" s="118" t="s">
        <v>227</v>
      </c>
    </row>
    <row r="204" spans="1:10" x14ac:dyDescent="0.2">
      <c r="B204" s="68" t="s">
        <v>228</v>
      </c>
      <c r="C204" s="289">
        <v>13316</v>
      </c>
      <c r="D204" s="289">
        <v>14626</v>
      </c>
      <c r="E204" s="289">
        <v>15623</v>
      </c>
      <c r="F204" s="290">
        <f t="shared" ref="F204:G208" si="24">(D204-C204)/C204</f>
        <v>9.8377891258636233E-2</v>
      </c>
      <c r="G204" s="290">
        <f t="shared" si="24"/>
        <v>6.8166279228770679E-2</v>
      </c>
      <c r="H204" s="290">
        <f>(E204-C204)/C204</f>
        <v>0.17325022529288076</v>
      </c>
    </row>
    <row r="205" spans="1:10" x14ac:dyDescent="0.2">
      <c r="B205" s="68" t="s">
        <v>229</v>
      </c>
      <c r="C205" s="289">
        <v>2502</v>
      </c>
      <c r="D205" s="289">
        <v>2669</v>
      </c>
      <c r="E205" s="289">
        <v>2597</v>
      </c>
      <c r="F205" s="290">
        <f t="shared" si="24"/>
        <v>6.6746602717825745E-2</v>
      </c>
      <c r="G205" s="290">
        <f t="shared" si="24"/>
        <v>-2.6976395653802922E-2</v>
      </c>
      <c r="H205" s="290">
        <f t="shared" ref="H205:H208" si="25">(E205-C205)/C205</f>
        <v>3.796962430055955E-2</v>
      </c>
    </row>
    <row r="206" spans="1:10" x14ac:dyDescent="0.2">
      <c r="B206" s="68" t="s">
        <v>188</v>
      </c>
      <c r="C206" s="289">
        <v>14933</v>
      </c>
      <c r="D206" s="289">
        <v>16197</v>
      </c>
      <c r="E206" s="289">
        <v>16694</v>
      </c>
      <c r="F206" s="290">
        <f t="shared" si="24"/>
        <v>8.4644746534520865E-2</v>
      </c>
      <c r="G206" s="290">
        <f t="shared" si="24"/>
        <v>3.0684694696548744E-2</v>
      </c>
      <c r="H206" s="290">
        <f>(E206-C206)/C206</f>
        <v>0.11792673943614813</v>
      </c>
    </row>
    <row r="207" spans="1:10" x14ac:dyDescent="0.2">
      <c r="B207" s="68" t="s">
        <v>230</v>
      </c>
      <c r="C207" s="289">
        <v>8374</v>
      </c>
      <c r="D207" s="289">
        <v>7976</v>
      </c>
      <c r="E207" s="289">
        <v>7851</v>
      </c>
      <c r="F207" s="290">
        <f t="shared" si="24"/>
        <v>-4.7528063052304753E-2</v>
      </c>
      <c r="G207" s="290">
        <f t="shared" si="24"/>
        <v>-1.5672016048144433E-2</v>
      </c>
      <c r="H207" s="290">
        <f t="shared" si="25"/>
        <v>-6.2455218533556248E-2</v>
      </c>
    </row>
    <row r="208" spans="1:10" x14ac:dyDescent="0.2">
      <c r="B208" s="68" t="s">
        <v>191</v>
      </c>
      <c r="C208" s="289">
        <v>3429</v>
      </c>
      <c r="D208" s="289">
        <v>3316</v>
      </c>
      <c r="E208" s="289">
        <v>3315</v>
      </c>
      <c r="F208" s="290">
        <f t="shared" si="24"/>
        <v>-3.295421405657626E-2</v>
      </c>
      <c r="G208" s="290">
        <f t="shared" si="24"/>
        <v>-3.0156815440289503E-4</v>
      </c>
      <c r="H208" s="290">
        <f t="shared" si="25"/>
        <v>-3.3245844269466314E-2</v>
      </c>
    </row>
    <row r="209" spans="1:8" x14ac:dyDescent="0.2">
      <c r="B209" s="123" t="s">
        <v>200</v>
      </c>
    </row>
    <row r="210" spans="1:8" x14ac:dyDescent="0.2">
      <c r="B210" s="123"/>
    </row>
    <row r="211" spans="1:8" ht="15" x14ac:dyDescent="0.2">
      <c r="B211" s="227" t="s">
        <v>722</v>
      </c>
    </row>
    <row r="212" spans="1:8" x14ac:dyDescent="0.2">
      <c r="A212" s="340"/>
      <c r="B212" s="328" t="s">
        <v>597</v>
      </c>
      <c r="C212" s="328">
        <v>2018</v>
      </c>
      <c r="D212" s="328">
        <v>2028</v>
      </c>
      <c r="E212" s="328">
        <v>2038</v>
      </c>
      <c r="F212" s="328" t="s">
        <v>225</v>
      </c>
      <c r="G212" s="328" t="s">
        <v>226</v>
      </c>
      <c r="H212" s="328" t="s">
        <v>227</v>
      </c>
    </row>
    <row r="213" spans="1:8" x14ac:dyDescent="0.2">
      <c r="B213" s="68" t="s">
        <v>228</v>
      </c>
      <c r="C213" s="289">
        <f>[4]Scotland!$C$22+[4]Scotland!$C$39</f>
        <v>892687</v>
      </c>
      <c r="D213" s="289">
        <f>[4]Scotland!$M$22+[4]Scotland!$M$39</f>
        <v>969172</v>
      </c>
      <c r="E213" s="289">
        <f>[4]Scotland!$W$22+[4]Scotland!$W$39</f>
        <v>1027520</v>
      </c>
      <c r="F213" s="290">
        <f t="shared" ref="F213:F217" si="26">(D213-C213)/C213</f>
        <v>8.5679527090682397E-2</v>
      </c>
      <c r="G213" s="290">
        <f t="shared" ref="G213:G217" si="27">(E213-D213)/D213</f>
        <v>6.0203967923134385E-2</v>
      </c>
      <c r="H213" s="290">
        <f>(E213-C213)/C213</f>
        <v>0.15104174251445354</v>
      </c>
    </row>
    <row r="214" spans="1:8" x14ac:dyDescent="0.2">
      <c r="B214" s="68" t="s">
        <v>229</v>
      </c>
      <c r="C214" s="289">
        <v>154526</v>
      </c>
      <c r="D214" s="289">
        <v>159499</v>
      </c>
      <c r="E214" s="289">
        <v>160696</v>
      </c>
      <c r="F214" s="290">
        <f t="shared" si="26"/>
        <v>3.2182286476062277E-2</v>
      </c>
      <c r="G214" s="290">
        <f t="shared" si="27"/>
        <v>7.5047492460767777E-3</v>
      </c>
      <c r="H214" s="290">
        <f t="shared" ref="H214:H217" si="28">(E214-C214)/C214</f>
        <v>3.9928555712307315E-2</v>
      </c>
    </row>
    <row r="215" spans="1:8" x14ac:dyDescent="0.2">
      <c r="B215" s="68" t="s">
        <v>188</v>
      </c>
      <c r="C215" s="289">
        <v>774680</v>
      </c>
      <c r="D215" s="289">
        <v>834040</v>
      </c>
      <c r="E215" s="289">
        <v>869086</v>
      </c>
      <c r="F215" s="290">
        <f t="shared" si="26"/>
        <v>7.6625187174058973E-2</v>
      </c>
      <c r="G215" s="290">
        <f t="shared" si="27"/>
        <v>4.2019567406839001E-2</v>
      </c>
      <c r="H215" s="290">
        <f t="shared" si="28"/>
        <v>0.12186451179841999</v>
      </c>
    </row>
    <row r="216" spans="1:8" x14ac:dyDescent="0.2">
      <c r="B216" s="68" t="s">
        <v>230</v>
      </c>
      <c r="C216" s="289">
        <v>445241</v>
      </c>
      <c r="D216" s="289">
        <v>444454</v>
      </c>
      <c r="E216" s="289">
        <v>453836</v>
      </c>
      <c r="F216" s="290">
        <f t="shared" si="26"/>
        <v>-1.7675820510689717E-3</v>
      </c>
      <c r="G216" s="290">
        <f t="shared" si="27"/>
        <v>2.1109046155507658E-2</v>
      </c>
      <c r="H216" s="290">
        <f t="shared" si="28"/>
        <v>1.9304152133339022E-2</v>
      </c>
    </row>
    <row r="217" spans="1:8" x14ac:dyDescent="0.2">
      <c r="B217" s="68" t="s">
        <v>191</v>
      </c>
      <c r="C217" s="289">
        <v>210141</v>
      </c>
      <c r="D217" s="289">
        <v>203707</v>
      </c>
      <c r="E217" s="289">
        <v>208043</v>
      </c>
      <c r="F217" s="290">
        <f t="shared" si="26"/>
        <v>-3.0617537748464128E-2</v>
      </c>
      <c r="G217" s="290">
        <f t="shared" si="27"/>
        <v>2.1285473744152138E-2</v>
      </c>
      <c r="H217" s="290">
        <f t="shared" si="28"/>
        <v>-9.983772800167507E-3</v>
      </c>
    </row>
    <row r="218" spans="1:8" x14ac:dyDescent="0.2">
      <c r="B218" s="123" t="s">
        <v>200</v>
      </c>
    </row>
    <row r="221" spans="1:8" ht="15" x14ac:dyDescent="0.25">
      <c r="B221"/>
    </row>
    <row r="224" spans="1:8" ht="15" x14ac:dyDescent="0.2">
      <c r="B224" s="227" t="s">
        <v>723</v>
      </c>
    </row>
    <row r="225" spans="1:4" x14ac:dyDescent="0.2">
      <c r="A225" s="340"/>
      <c r="B225" s="329" t="s">
        <v>606</v>
      </c>
      <c r="C225" s="329" t="s">
        <v>609</v>
      </c>
      <c r="D225" s="329" t="s">
        <v>610</v>
      </c>
    </row>
    <row r="226" spans="1:4" x14ac:dyDescent="0.2">
      <c r="B226" s="68" t="s">
        <v>228</v>
      </c>
      <c r="C226" s="287">
        <v>0.17325022529288076</v>
      </c>
      <c r="D226" s="287">
        <v>0.15104174251445354</v>
      </c>
    </row>
    <row r="227" spans="1:4" x14ac:dyDescent="0.2">
      <c r="B227" s="68" t="s">
        <v>229</v>
      </c>
      <c r="C227" s="287">
        <v>3.796962430055955E-2</v>
      </c>
      <c r="D227" s="287">
        <v>3.9928555712307315E-2</v>
      </c>
    </row>
    <row r="228" spans="1:4" x14ac:dyDescent="0.2">
      <c r="B228" s="68" t="s">
        <v>188</v>
      </c>
      <c r="C228" s="287">
        <v>0.11792673943614813</v>
      </c>
      <c r="D228" s="287">
        <v>0.12186451179841999</v>
      </c>
    </row>
    <row r="229" spans="1:4" x14ac:dyDescent="0.2">
      <c r="B229" s="68" t="s">
        <v>230</v>
      </c>
      <c r="C229" s="287">
        <v>-6.2455218533556248E-2</v>
      </c>
      <c r="D229" s="287">
        <v>1.9304152133339022E-2</v>
      </c>
    </row>
    <row r="230" spans="1:4" x14ac:dyDescent="0.2">
      <c r="B230" s="68" t="s">
        <v>191</v>
      </c>
      <c r="C230" s="287">
        <v>-3.3245844269466314E-2</v>
      </c>
      <c r="D230" s="287">
        <v>-9.983772800167507E-3</v>
      </c>
    </row>
    <row r="231" spans="1:4" x14ac:dyDescent="0.2">
      <c r="B231" s="123" t="s">
        <v>200</v>
      </c>
    </row>
    <row r="238" spans="1:4" x14ac:dyDescent="0.2">
      <c r="A238" s="291"/>
    </row>
    <row r="240" spans="1:4" ht="15" x14ac:dyDescent="0.2">
      <c r="A240" s="340"/>
      <c r="B240" s="227" t="s">
        <v>956</v>
      </c>
    </row>
    <row r="241" spans="2:5" s="462" customFormat="1" x14ac:dyDescent="0.2">
      <c r="B241" s="505" t="s">
        <v>578</v>
      </c>
      <c r="C241" s="132" t="s">
        <v>198</v>
      </c>
      <c r="D241" s="132" t="s">
        <v>197</v>
      </c>
      <c r="E241" s="132" t="s">
        <v>199</v>
      </c>
    </row>
    <row r="242" spans="2:5" s="462" customFormat="1" x14ac:dyDescent="0.2">
      <c r="B242" s="508">
        <v>2022</v>
      </c>
      <c r="C242" s="438">
        <v>43651</v>
      </c>
      <c r="D242" s="438">
        <v>43669</v>
      </c>
      <c r="E242" s="438">
        <v>43691</v>
      </c>
    </row>
    <row r="243" spans="2:5" s="462" customFormat="1" x14ac:dyDescent="0.2">
      <c r="B243" s="508">
        <v>2023</v>
      </c>
      <c r="C243" s="438">
        <v>43838</v>
      </c>
      <c r="D243" s="438">
        <v>43868</v>
      </c>
      <c r="E243" s="438">
        <v>43898</v>
      </c>
    </row>
    <row r="244" spans="2:5" s="462" customFormat="1" x14ac:dyDescent="0.2">
      <c r="B244" s="508">
        <v>2024</v>
      </c>
      <c r="C244" s="438">
        <v>44026</v>
      </c>
      <c r="D244" s="438">
        <v>44071</v>
      </c>
      <c r="E244" s="438">
        <v>44112</v>
      </c>
    </row>
    <row r="245" spans="2:5" s="462" customFormat="1" x14ac:dyDescent="0.2">
      <c r="B245" s="508">
        <v>2025</v>
      </c>
      <c r="C245" s="438">
        <v>44168</v>
      </c>
      <c r="D245" s="438">
        <v>44228</v>
      </c>
      <c r="E245" s="438">
        <v>44293</v>
      </c>
    </row>
    <row r="246" spans="2:5" s="462" customFormat="1" x14ac:dyDescent="0.2">
      <c r="B246" s="508">
        <v>2026</v>
      </c>
      <c r="C246" s="438">
        <v>44319</v>
      </c>
      <c r="D246" s="438">
        <v>44398</v>
      </c>
      <c r="E246" s="438">
        <v>44487</v>
      </c>
    </row>
    <row r="247" spans="2:5" s="462" customFormat="1" x14ac:dyDescent="0.2">
      <c r="B247" s="508">
        <v>2027</v>
      </c>
      <c r="C247" s="438">
        <v>44420</v>
      </c>
      <c r="D247" s="438">
        <v>44520</v>
      </c>
      <c r="E247" s="438">
        <v>44631</v>
      </c>
    </row>
    <row r="248" spans="2:5" s="462" customFormat="1" x14ac:dyDescent="0.2">
      <c r="B248" s="508">
        <v>2028</v>
      </c>
      <c r="C248" s="438">
        <v>44529</v>
      </c>
      <c r="D248" s="438">
        <v>44649</v>
      </c>
      <c r="E248" s="438">
        <v>44783</v>
      </c>
    </row>
    <row r="249" spans="2:5" s="462" customFormat="1" x14ac:dyDescent="0.2">
      <c r="B249" s="508">
        <v>2029</v>
      </c>
      <c r="C249" s="438">
        <v>44625</v>
      </c>
      <c r="D249" s="438">
        <v>44765</v>
      </c>
      <c r="E249" s="438">
        <v>44923</v>
      </c>
    </row>
    <row r="250" spans="2:5" s="462" customFormat="1" x14ac:dyDescent="0.2">
      <c r="B250" s="508">
        <v>2030</v>
      </c>
      <c r="C250" s="438">
        <v>44689</v>
      </c>
      <c r="D250" s="438">
        <v>44848</v>
      </c>
      <c r="E250" s="438">
        <v>45035</v>
      </c>
    </row>
    <row r="251" spans="2:5" s="462" customFormat="1" x14ac:dyDescent="0.2">
      <c r="B251" s="508">
        <v>2031</v>
      </c>
      <c r="C251" s="438">
        <v>44760</v>
      </c>
      <c r="D251" s="438">
        <v>44936</v>
      </c>
      <c r="E251" s="438">
        <v>45156</v>
      </c>
    </row>
    <row r="252" spans="2:5" s="462" customFormat="1" x14ac:dyDescent="0.2">
      <c r="B252" s="508">
        <v>2032</v>
      </c>
      <c r="C252" s="438">
        <v>44831</v>
      </c>
      <c r="D252" s="438">
        <v>45028</v>
      </c>
      <c r="E252" s="438">
        <v>45277</v>
      </c>
    </row>
    <row r="253" spans="2:5" s="462" customFormat="1" x14ac:dyDescent="0.2">
      <c r="B253" s="508">
        <v>2033</v>
      </c>
      <c r="C253" s="438">
        <v>44925</v>
      </c>
      <c r="D253" s="438">
        <v>45141</v>
      </c>
      <c r="E253" s="438">
        <v>45420</v>
      </c>
    </row>
    <row r="254" spans="2:5" s="462" customFormat="1" x14ac:dyDescent="0.2">
      <c r="B254" s="508">
        <v>2034</v>
      </c>
      <c r="C254" s="438">
        <v>44978</v>
      </c>
      <c r="D254" s="438">
        <v>45222</v>
      </c>
      <c r="E254" s="438">
        <v>45530</v>
      </c>
    </row>
    <row r="255" spans="2:5" s="462" customFormat="1" x14ac:dyDescent="0.2">
      <c r="B255" s="508">
        <v>2035</v>
      </c>
      <c r="C255" s="438">
        <v>45042</v>
      </c>
      <c r="D255" s="438">
        <v>45313</v>
      </c>
      <c r="E255" s="438">
        <v>45647</v>
      </c>
    </row>
    <row r="256" spans="2:5" s="462" customFormat="1" x14ac:dyDescent="0.2">
      <c r="B256" s="508">
        <v>2036</v>
      </c>
      <c r="C256" s="438">
        <v>45119</v>
      </c>
      <c r="D256" s="438">
        <v>45415</v>
      </c>
      <c r="E256" s="438">
        <v>45782</v>
      </c>
    </row>
    <row r="257" spans="1:11" s="462" customFormat="1" x14ac:dyDescent="0.2">
      <c r="B257" s="508">
        <v>2037</v>
      </c>
      <c r="C257" s="438">
        <v>45204</v>
      </c>
      <c r="D257" s="438">
        <v>45527</v>
      </c>
      <c r="E257" s="438">
        <v>45930</v>
      </c>
    </row>
    <row r="258" spans="1:11" s="462" customFormat="1" x14ac:dyDescent="0.2">
      <c r="B258" s="508">
        <v>2038</v>
      </c>
      <c r="C258" s="438">
        <v>45294</v>
      </c>
      <c r="D258" s="438">
        <v>45645</v>
      </c>
      <c r="E258" s="438">
        <v>46080</v>
      </c>
    </row>
    <row r="259" spans="1:11" s="462" customFormat="1" x14ac:dyDescent="0.2">
      <c r="B259" s="508">
        <v>2039</v>
      </c>
      <c r="C259" s="438">
        <v>45361</v>
      </c>
      <c r="D259" s="438">
        <v>45740</v>
      </c>
      <c r="E259" s="438">
        <v>46207</v>
      </c>
    </row>
    <row r="260" spans="1:11" s="462" customFormat="1" x14ac:dyDescent="0.2">
      <c r="B260" s="508">
        <v>2040</v>
      </c>
      <c r="C260" s="438">
        <v>45403</v>
      </c>
      <c r="D260" s="438">
        <v>45810</v>
      </c>
      <c r="E260" s="438">
        <v>46312</v>
      </c>
    </row>
    <row r="261" spans="1:11" s="462" customFormat="1" x14ac:dyDescent="0.2">
      <c r="B261" s="508">
        <v>2041</v>
      </c>
      <c r="C261" s="438">
        <v>45447</v>
      </c>
      <c r="D261" s="438">
        <v>45880</v>
      </c>
      <c r="E261" s="438">
        <v>46419</v>
      </c>
    </row>
    <row r="262" spans="1:11" s="462" customFormat="1" x14ac:dyDescent="0.2">
      <c r="B262" s="508">
        <v>2042</v>
      </c>
      <c r="C262" s="438">
        <v>45467</v>
      </c>
      <c r="D262" s="438">
        <v>45927</v>
      </c>
      <c r="E262" s="438">
        <v>46506</v>
      </c>
    </row>
    <row r="263" spans="1:11" s="462" customFormat="1" x14ac:dyDescent="0.2">
      <c r="B263" s="541" t="s">
        <v>988</v>
      </c>
      <c r="C263" s="553">
        <f>(C262-C242)/C242</f>
        <v>4.1602712423541272E-2</v>
      </c>
      <c r="D263" s="553">
        <f>(D262-D242)/D242</f>
        <v>5.170716068607021E-2</v>
      </c>
      <c r="E263" s="553">
        <f>(E262-E242)/E242</f>
        <v>6.4429745256460141E-2</v>
      </c>
    </row>
    <row r="265" spans="1:11" ht="15" x14ac:dyDescent="0.2">
      <c r="A265" s="340"/>
      <c r="B265" s="122" t="s">
        <v>858</v>
      </c>
      <c r="C265" s="12"/>
    </row>
    <row r="266" spans="1:11" x14ac:dyDescent="0.2">
      <c r="B266" s="329" t="s">
        <v>38</v>
      </c>
      <c r="C266" s="329">
        <v>2018</v>
      </c>
      <c r="D266" s="329">
        <v>2021</v>
      </c>
      <c r="E266" s="329">
        <v>2026</v>
      </c>
      <c r="F266" s="329">
        <v>2031</v>
      </c>
      <c r="G266" s="329">
        <v>2036</v>
      </c>
      <c r="H266" s="329">
        <v>2041</v>
      </c>
      <c r="I266" s="329">
        <v>2043</v>
      </c>
      <c r="J266" s="329" t="s">
        <v>216</v>
      </c>
      <c r="K266" s="329" t="s">
        <v>217</v>
      </c>
    </row>
    <row r="267" spans="1:11" x14ac:dyDescent="0.2">
      <c r="B267" s="68" t="s">
        <v>218</v>
      </c>
      <c r="C267" s="49">
        <v>3395</v>
      </c>
      <c r="D267" s="49">
        <v>3429</v>
      </c>
      <c r="E267" s="49">
        <v>3162</v>
      </c>
      <c r="F267" s="49">
        <v>3073</v>
      </c>
      <c r="G267" s="49">
        <v>3108</v>
      </c>
      <c r="H267" s="49">
        <v>2838</v>
      </c>
      <c r="I267" s="49">
        <v>2751</v>
      </c>
      <c r="J267" s="147">
        <f t="shared" ref="J267:J272" si="29">(F267-C267)/C267</f>
        <v>-9.4845360824742264E-2</v>
      </c>
      <c r="K267" s="147">
        <f t="shared" ref="K267:K272" si="30">(I267-C267)/C267</f>
        <v>-0.18969072164948453</v>
      </c>
    </row>
    <row r="268" spans="1:11" x14ac:dyDescent="0.2">
      <c r="B268" s="69" t="s">
        <v>219</v>
      </c>
      <c r="C268" s="70">
        <v>8912</v>
      </c>
      <c r="D268" s="70">
        <v>8991</v>
      </c>
      <c r="E268" s="70">
        <v>9379</v>
      </c>
      <c r="F268" s="70">
        <v>9181</v>
      </c>
      <c r="G268" s="70">
        <v>8835</v>
      </c>
      <c r="H268" s="420">
        <v>8555</v>
      </c>
      <c r="I268" s="420">
        <v>8448</v>
      </c>
      <c r="J268" s="421">
        <f t="shared" si="29"/>
        <v>3.0184021543985636E-2</v>
      </c>
      <c r="K268" s="421">
        <f t="shared" si="30"/>
        <v>-5.2064631956912029E-2</v>
      </c>
    </row>
    <row r="269" spans="1:11" x14ac:dyDescent="0.2">
      <c r="B269" s="68" t="s">
        <v>220</v>
      </c>
      <c r="C269" s="49">
        <v>13069</v>
      </c>
      <c r="D269" s="49">
        <v>12872</v>
      </c>
      <c r="E269" s="49">
        <v>11695</v>
      </c>
      <c r="F269" s="49">
        <v>10917</v>
      </c>
      <c r="G269" s="49">
        <v>10850</v>
      </c>
      <c r="H269" s="49">
        <v>11321</v>
      </c>
      <c r="I269" s="49">
        <v>11312</v>
      </c>
      <c r="J269" s="147">
        <f t="shared" si="29"/>
        <v>-0.16466447318080954</v>
      </c>
      <c r="K269" s="147">
        <f t="shared" si="30"/>
        <v>-0.13444027852169255</v>
      </c>
    </row>
    <row r="270" spans="1:11" x14ac:dyDescent="0.2">
      <c r="B270" s="69" t="s">
        <v>221</v>
      </c>
      <c r="C270" s="70">
        <v>9843</v>
      </c>
      <c r="D270" s="70">
        <v>10012</v>
      </c>
      <c r="E270" s="70">
        <v>10653</v>
      </c>
      <c r="F270" s="70">
        <v>11238</v>
      </c>
      <c r="G270" s="70">
        <v>10875</v>
      </c>
      <c r="H270" s="420">
        <v>9958</v>
      </c>
      <c r="I270" s="420">
        <v>9729</v>
      </c>
      <c r="J270" s="421">
        <f t="shared" si="29"/>
        <v>0.14172508381590979</v>
      </c>
      <c r="K270" s="421">
        <f t="shared" si="30"/>
        <v>-1.1581834806461445E-2</v>
      </c>
    </row>
    <row r="271" spans="1:11" x14ac:dyDescent="0.2">
      <c r="B271" s="68" t="s">
        <v>222</v>
      </c>
      <c r="C271" s="49">
        <v>7335</v>
      </c>
      <c r="D271" s="49">
        <v>8101</v>
      </c>
      <c r="E271" s="49">
        <v>9509</v>
      </c>
      <c r="F271" s="49">
        <v>10527</v>
      </c>
      <c r="G271" s="49">
        <v>11745</v>
      </c>
      <c r="H271" s="49">
        <v>13206</v>
      </c>
      <c r="I271" s="49">
        <v>13716</v>
      </c>
      <c r="J271" s="147">
        <f t="shared" si="29"/>
        <v>0.43517382413087935</v>
      </c>
      <c r="K271" s="147">
        <f t="shared" si="30"/>
        <v>0.86993865030674844</v>
      </c>
    </row>
    <row r="272" spans="1:11" x14ac:dyDescent="0.2">
      <c r="B272" s="69" t="s">
        <v>223</v>
      </c>
      <c r="C272" s="210">
        <f>SUM(C267:C271)</f>
        <v>42554</v>
      </c>
      <c r="D272" s="210">
        <f t="shared" ref="D272:I272" si="31">SUM(D267:D271)</f>
        <v>43405</v>
      </c>
      <c r="E272" s="210">
        <f t="shared" si="31"/>
        <v>44398</v>
      </c>
      <c r="F272" s="210">
        <f t="shared" si="31"/>
        <v>44936</v>
      </c>
      <c r="G272" s="210">
        <f t="shared" si="31"/>
        <v>45413</v>
      </c>
      <c r="H272" s="210">
        <f t="shared" si="31"/>
        <v>45878</v>
      </c>
      <c r="I272" s="210">
        <f t="shared" si="31"/>
        <v>45956</v>
      </c>
      <c r="J272" s="421">
        <f t="shared" si="29"/>
        <v>5.5975936457207311E-2</v>
      </c>
      <c r="K272" s="421">
        <f t="shared" si="30"/>
        <v>7.9945481035860314E-2</v>
      </c>
    </row>
    <row r="273" spans="1:11" x14ac:dyDescent="0.2">
      <c r="B273" s="71" t="s">
        <v>652</v>
      </c>
    </row>
    <row r="275" spans="1:11" ht="15" x14ac:dyDescent="0.25">
      <c r="B275" s="273" t="s">
        <v>724</v>
      </c>
    </row>
    <row r="276" spans="1:11" x14ac:dyDescent="0.2">
      <c r="B276" s="407" t="s">
        <v>653</v>
      </c>
      <c r="C276" s="407" t="s">
        <v>38</v>
      </c>
      <c r="D276" s="407" t="s">
        <v>654</v>
      </c>
      <c r="E276" s="407" t="s">
        <v>655</v>
      </c>
      <c r="F276" s="424"/>
      <c r="G276" s="424"/>
      <c r="H276" s="424"/>
      <c r="K276" s="12"/>
    </row>
    <row r="277" spans="1:11" x14ac:dyDescent="0.2">
      <c r="B277" s="417" t="s">
        <v>656</v>
      </c>
      <c r="C277" s="285">
        <v>1270</v>
      </c>
      <c r="D277" s="285">
        <v>3429</v>
      </c>
      <c r="E277" s="285" t="s">
        <v>218</v>
      </c>
      <c r="F277" s="422"/>
      <c r="G277" s="422"/>
      <c r="H277" s="209"/>
    </row>
    <row r="278" spans="1:11" x14ac:dyDescent="0.2">
      <c r="B278" s="417" t="s">
        <v>657</v>
      </c>
      <c r="C278" s="289">
        <v>11037</v>
      </c>
      <c r="D278" s="285">
        <v>8991</v>
      </c>
      <c r="E278" s="289" t="s">
        <v>219</v>
      </c>
      <c r="F278" s="345"/>
      <c r="G278" s="345"/>
      <c r="H278" s="423"/>
    </row>
    <row r="279" spans="1:11" x14ac:dyDescent="0.2">
      <c r="B279" s="417" t="s">
        <v>658</v>
      </c>
      <c r="C279" s="285">
        <v>8593</v>
      </c>
      <c r="D279" s="285">
        <v>12872</v>
      </c>
      <c r="E279" s="285" t="s">
        <v>220</v>
      </c>
      <c r="F279" s="422"/>
      <c r="G279" s="422"/>
      <c r="H279" s="209"/>
    </row>
    <row r="280" spans="1:11" x14ac:dyDescent="0.2">
      <c r="B280" s="417" t="s">
        <v>659</v>
      </c>
      <c r="C280" s="289">
        <v>14301</v>
      </c>
      <c r="D280" s="285">
        <v>10012</v>
      </c>
      <c r="E280" s="289" t="s">
        <v>221</v>
      </c>
      <c r="F280" s="345"/>
      <c r="G280" s="345"/>
      <c r="H280" s="423"/>
    </row>
    <row r="281" spans="1:11" x14ac:dyDescent="0.2">
      <c r="B281" s="417" t="s">
        <v>222</v>
      </c>
      <c r="C281" s="285">
        <v>7352</v>
      </c>
      <c r="D281" s="285">
        <v>8101</v>
      </c>
      <c r="E281" s="285" t="s">
        <v>222</v>
      </c>
      <c r="F281" s="422"/>
      <c r="G281" s="422"/>
      <c r="H281" s="209"/>
    </row>
    <row r="282" spans="1:11" x14ac:dyDescent="0.2">
      <c r="B282" s="417" t="s">
        <v>223</v>
      </c>
      <c r="C282" s="289">
        <f>SUM(C277:C281)</f>
        <v>42553</v>
      </c>
      <c r="D282" s="285">
        <f t="shared" ref="D282" si="32">SUM(D277:D281)</f>
        <v>43405</v>
      </c>
      <c r="E282" s="289" t="s">
        <v>223</v>
      </c>
      <c r="F282" s="345"/>
      <c r="G282" s="345"/>
      <c r="H282" s="423"/>
    </row>
    <row r="283" spans="1:11" x14ac:dyDescent="0.2">
      <c r="B283" s="71" t="s">
        <v>951</v>
      </c>
    </row>
    <row r="285" spans="1:11" x14ac:dyDescent="0.2">
      <c r="B285" s="452" t="s">
        <v>660</v>
      </c>
    </row>
    <row r="286" spans="1:11" ht="15" x14ac:dyDescent="0.25">
      <c r="B286" s="273" t="s">
        <v>725</v>
      </c>
    </row>
    <row r="287" spans="1:11" ht="28.5" x14ac:dyDescent="0.2">
      <c r="A287" s="340"/>
      <c r="B287" s="426" t="s">
        <v>651</v>
      </c>
      <c r="C287" s="426" t="s">
        <v>661</v>
      </c>
      <c r="D287" s="426" t="s">
        <v>662</v>
      </c>
      <c r="E287" s="426" t="s">
        <v>663</v>
      </c>
      <c r="F287" s="426" t="s">
        <v>664</v>
      </c>
      <c r="G287" s="426" t="s">
        <v>644</v>
      </c>
    </row>
    <row r="288" spans="1:11" x14ac:dyDescent="0.2">
      <c r="B288" s="417" t="s">
        <v>38</v>
      </c>
      <c r="C288" s="418">
        <v>2550</v>
      </c>
      <c r="D288" s="418">
        <v>32481</v>
      </c>
      <c r="E288" s="418">
        <v>4941</v>
      </c>
      <c r="F288" s="418">
        <v>2461</v>
      </c>
      <c r="G288" s="418">
        <f>SUM(C288:F288)</f>
        <v>42433</v>
      </c>
    </row>
    <row r="289" spans="1:9" x14ac:dyDescent="0.2">
      <c r="B289" s="71" t="s">
        <v>944</v>
      </c>
    </row>
    <row r="291" spans="1:9" ht="15" x14ac:dyDescent="0.25">
      <c r="B291" s="273" t="s">
        <v>726</v>
      </c>
    </row>
    <row r="292" spans="1:9" ht="28.5" x14ac:dyDescent="0.2">
      <c r="B292" s="426" t="s">
        <v>651</v>
      </c>
      <c r="C292" s="426" t="s">
        <v>665</v>
      </c>
      <c r="D292" s="426" t="s">
        <v>666</v>
      </c>
      <c r="E292" s="426" t="s">
        <v>667</v>
      </c>
      <c r="F292" s="426" t="s">
        <v>668</v>
      </c>
      <c r="G292" s="426" t="s">
        <v>644</v>
      </c>
      <c r="H292" s="426" t="s">
        <v>669</v>
      </c>
      <c r="I292" s="426" t="s">
        <v>670</v>
      </c>
    </row>
    <row r="293" spans="1:9" x14ac:dyDescent="0.2">
      <c r="B293" s="417" t="s">
        <v>38</v>
      </c>
      <c r="C293" s="418">
        <v>4018</v>
      </c>
      <c r="D293" s="418">
        <v>27125</v>
      </c>
      <c r="E293" s="418">
        <v>8053</v>
      </c>
      <c r="F293" s="418">
        <v>3302</v>
      </c>
      <c r="G293" s="418">
        <f>SUM(C293:F293)</f>
        <v>42498</v>
      </c>
      <c r="H293" s="427">
        <f>E293+F293</f>
        <v>11355</v>
      </c>
      <c r="I293" s="428">
        <f>(E293+F293)/G293</f>
        <v>0.26718904419031486</v>
      </c>
    </row>
    <row r="294" spans="1:9" x14ac:dyDescent="0.2">
      <c r="B294" s="71" t="s">
        <v>945</v>
      </c>
    </row>
    <row r="296" spans="1:9" x14ac:dyDescent="0.2">
      <c r="B296" s="452" t="s">
        <v>671</v>
      </c>
    </row>
    <row r="297" spans="1:9" ht="15" x14ac:dyDescent="0.25">
      <c r="B297" s="273" t="s">
        <v>727</v>
      </c>
    </row>
    <row r="298" spans="1:9" ht="28.5" x14ac:dyDescent="0.2">
      <c r="A298" s="340"/>
      <c r="B298" s="426" t="s">
        <v>651</v>
      </c>
      <c r="C298" s="426" t="s">
        <v>38</v>
      </c>
      <c r="D298" s="426" t="s">
        <v>672</v>
      </c>
      <c r="E298" s="426" t="s">
        <v>673</v>
      </c>
      <c r="F298" s="426" t="s">
        <v>674</v>
      </c>
      <c r="G298" s="426" t="s">
        <v>675</v>
      </c>
      <c r="H298" s="426" t="s">
        <v>86</v>
      </c>
      <c r="I298" s="426" t="s">
        <v>792</v>
      </c>
    </row>
    <row r="299" spans="1:9" x14ac:dyDescent="0.2">
      <c r="B299" s="417" t="s">
        <v>38</v>
      </c>
      <c r="C299" s="418">
        <v>9263</v>
      </c>
      <c r="D299" s="418">
        <v>922</v>
      </c>
      <c r="E299" s="418">
        <v>79</v>
      </c>
      <c r="F299" s="418">
        <v>681</v>
      </c>
      <c r="G299" s="418">
        <v>328</v>
      </c>
      <c r="H299" s="418">
        <f>SUM(C299:G299)</f>
        <v>11273</v>
      </c>
      <c r="I299" s="427">
        <f>E299+F299+G299</f>
        <v>1088</v>
      </c>
    </row>
    <row r="300" spans="1:9" x14ac:dyDescent="0.2">
      <c r="B300" s="71" t="s">
        <v>946</v>
      </c>
    </row>
    <row r="302" spans="1:9" x14ac:dyDescent="0.2">
      <c r="B302" s="425" t="s">
        <v>676</v>
      </c>
      <c r="C302" s="309"/>
      <c r="D302" s="309"/>
      <c r="E302" s="309"/>
    </row>
    <row r="303" spans="1:9" ht="15" x14ac:dyDescent="0.25">
      <c r="B303" s="16" t="s">
        <v>728</v>
      </c>
      <c r="C303" s="12"/>
      <c r="D303" s="12"/>
      <c r="E303" s="12"/>
    </row>
    <row r="304" spans="1:9" ht="28.5" x14ac:dyDescent="0.2">
      <c r="B304" s="407" t="s">
        <v>651</v>
      </c>
      <c r="C304" s="426" t="s">
        <v>38</v>
      </c>
      <c r="D304" s="426" t="s">
        <v>672</v>
      </c>
      <c r="E304" s="426" t="s">
        <v>673</v>
      </c>
      <c r="F304" s="426" t="s">
        <v>674</v>
      </c>
      <c r="G304" s="426" t="s">
        <v>675</v>
      </c>
      <c r="H304" s="426" t="s">
        <v>86</v>
      </c>
      <c r="I304" s="426" t="s">
        <v>793</v>
      </c>
    </row>
    <row r="305" spans="2:9" x14ac:dyDescent="0.2">
      <c r="B305" s="417" t="s">
        <v>38</v>
      </c>
      <c r="C305" s="418">
        <v>7709</v>
      </c>
      <c r="D305" s="418">
        <v>399</v>
      </c>
      <c r="E305" s="429">
        <v>151</v>
      </c>
      <c r="F305" s="429">
        <v>1346</v>
      </c>
      <c r="G305" s="429">
        <v>1005</v>
      </c>
      <c r="H305" s="418">
        <f>SUM(C305:G305)</f>
        <v>10610</v>
      </c>
      <c r="I305" s="418">
        <v>7709</v>
      </c>
    </row>
    <row r="306" spans="2:9" x14ac:dyDescent="0.2">
      <c r="B306" s="71" t="s">
        <v>947</v>
      </c>
    </row>
    <row r="308" spans="2:9" ht="15" x14ac:dyDescent="0.25">
      <c r="B308" s="273" t="s">
        <v>729</v>
      </c>
    </row>
    <row r="309" spans="2:9" ht="28.5" x14ac:dyDescent="0.2">
      <c r="B309" s="407" t="s">
        <v>651</v>
      </c>
      <c r="C309" s="407" t="s">
        <v>677</v>
      </c>
      <c r="D309" s="407" t="s">
        <v>678</v>
      </c>
      <c r="E309" s="407" t="s">
        <v>679</v>
      </c>
      <c r="F309" s="407" t="s">
        <v>680</v>
      </c>
      <c r="G309" s="407" t="s">
        <v>681</v>
      </c>
      <c r="H309" s="426" t="s">
        <v>682</v>
      </c>
    </row>
    <row r="310" spans="2:9" x14ac:dyDescent="0.2">
      <c r="B310" s="430" t="s">
        <v>38</v>
      </c>
      <c r="C310" s="418">
        <v>144</v>
      </c>
      <c r="D310" s="418">
        <v>609</v>
      </c>
      <c r="E310" s="418">
        <v>1472</v>
      </c>
      <c r="F310" s="418">
        <v>5435</v>
      </c>
      <c r="G310" s="418">
        <v>2711</v>
      </c>
      <c r="H310" s="431">
        <v>4520</v>
      </c>
    </row>
    <row r="311" spans="2:9" x14ac:dyDescent="0.2">
      <c r="B311" s="71" t="s">
        <v>948</v>
      </c>
    </row>
    <row r="313" spans="2:9" ht="15" x14ac:dyDescent="0.25">
      <c r="B313" s="273" t="s">
        <v>730</v>
      </c>
    </row>
    <row r="314" spans="2:9" x14ac:dyDescent="0.2">
      <c r="B314" s="407" t="s">
        <v>651</v>
      </c>
      <c r="C314" s="407">
        <v>2017</v>
      </c>
      <c r="D314" s="407">
        <v>2018</v>
      </c>
      <c r="E314" s="407">
        <v>2019</v>
      </c>
      <c r="F314" s="407">
        <v>2020</v>
      </c>
      <c r="G314" s="503">
        <v>2021</v>
      </c>
      <c r="H314" s="503">
        <v>2022</v>
      </c>
    </row>
    <row r="315" spans="2:9" x14ac:dyDescent="0.2">
      <c r="B315" s="430" t="s">
        <v>38</v>
      </c>
      <c r="C315" s="418">
        <v>509</v>
      </c>
      <c r="D315" s="418">
        <v>1388</v>
      </c>
      <c r="E315" s="418">
        <v>1302</v>
      </c>
      <c r="F315" s="418">
        <v>1731</v>
      </c>
      <c r="G315" s="418">
        <v>2473</v>
      </c>
      <c r="H315" s="418">
        <v>2581</v>
      </c>
    </row>
    <row r="316" spans="2:9" x14ac:dyDescent="0.2">
      <c r="B316" s="71" t="s">
        <v>952</v>
      </c>
    </row>
  </sheetData>
  <mergeCells count="10">
    <mergeCell ref="B2:H2"/>
    <mergeCell ref="B3:H3"/>
    <mergeCell ref="E8:F8"/>
    <mergeCell ref="B12:F12"/>
    <mergeCell ref="B59:F59"/>
    <mergeCell ref="B66:F66"/>
    <mergeCell ref="E62:F62"/>
    <mergeCell ref="E63:F63"/>
    <mergeCell ref="E64:F64"/>
    <mergeCell ref="E65:F65"/>
  </mergeCells>
  <conditionalFormatting sqref="C28:G32">
    <cfRule type="colorScale" priority="32">
      <colorScale>
        <cfvo type="min"/>
        <cfvo type="percentile" val="50"/>
        <cfvo type="max"/>
        <color rgb="FFF8696B"/>
        <color rgb="FFFFEB84"/>
        <color rgb="FF63BE7B"/>
      </colorScale>
    </cfRule>
  </conditionalFormatting>
  <conditionalFormatting sqref="E82:E85 E87">
    <cfRule type="dataBar" priority="18">
      <dataBar>
        <cfvo type="min"/>
        <cfvo type="max"/>
        <color rgb="FF63C384"/>
      </dataBar>
      <extLst>
        <ext xmlns:x14="http://schemas.microsoft.com/office/spreadsheetml/2009/9/main" uri="{B025F937-C7B1-47D3-B67F-A62EFF666E3E}">
          <x14:id>{9DBF6096-D702-48EF-961E-644F84B3E1C1}</x14:id>
        </ext>
      </extLst>
    </cfRule>
  </conditionalFormatting>
  <conditionalFormatting sqref="G82:G85 G87">
    <cfRule type="dataBar" priority="17">
      <dataBar>
        <cfvo type="min"/>
        <cfvo type="max"/>
        <color rgb="FF63C384"/>
      </dataBar>
      <extLst>
        <ext xmlns:x14="http://schemas.microsoft.com/office/spreadsheetml/2009/9/main" uri="{B025F937-C7B1-47D3-B67F-A62EFF666E3E}">
          <x14:id>{8B9EFE12-C446-4107-9A6B-AD56C4DBCBF4}</x14:id>
        </ext>
      </extLst>
    </cfRule>
  </conditionalFormatting>
  <conditionalFormatting sqref="I82:I85 I87">
    <cfRule type="dataBar" priority="16">
      <dataBar>
        <cfvo type="min"/>
        <cfvo type="max"/>
        <color rgb="FF63C384"/>
      </dataBar>
      <extLst>
        <ext xmlns:x14="http://schemas.microsoft.com/office/spreadsheetml/2009/9/main" uri="{B025F937-C7B1-47D3-B67F-A62EFF666E3E}">
          <x14:id>{D53C9125-C0D0-477D-8166-7FFCD7CB6DED}</x14:id>
        </ext>
      </extLst>
    </cfRule>
  </conditionalFormatting>
  <conditionalFormatting sqref="F10:F11">
    <cfRule type="dataBar" priority="78">
      <dataBar>
        <cfvo type="min"/>
        <cfvo type="max"/>
        <color rgb="FF63C384"/>
      </dataBar>
      <extLst>
        <ext xmlns:x14="http://schemas.microsoft.com/office/spreadsheetml/2009/9/main" uri="{B025F937-C7B1-47D3-B67F-A62EFF666E3E}">
          <x14:id>{D7DC0ED2-A60A-4DF6-8970-52C766D59C9F}</x14:id>
        </ext>
      </extLst>
    </cfRule>
  </conditionalFormatting>
  <conditionalFormatting sqref="S10:S11">
    <cfRule type="dataBar" priority="79">
      <dataBar>
        <cfvo type="min"/>
        <cfvo type="max"/>
        <color rgb="FF63C384"/>
      </dataBar>
      <extLst>
        <ext xmlns:x14="http://schemas.microsoft.com/office/spreadsheetml/2009/9/main" uri="{B025F937-C7B1-47D3-B67F-A62EFF666E3E}">
          <x14:id>{11D3BBFF-9C25-47B6-B341-927568FD7CD8}</x14:id>
        </ext>
      </extLst>
    </cfRule>
  </conditionalFormatting>
  <conditionalFormatting sqref="H131:H135">
    <cfRule type="colorScale" priority="82">
      <colorScale>
        <cfvo type="min"/>
        <cfvo type="percentile" val="50"/>
        <cfvo type="max"/>
        <color rgb="FFF8696B"/>
        <color rgb="FFFFEB84"/>
        <color rgb="FF63BE7B"/>
      </colorScale>
    </cfRule>
  </conditionalFormatting>
  <conditionalFormatting sqref="H166:H171">
    <cfRule type="colorScale" priority="83">
      <colorScale>
        <cfvo type="min"/>
        <cfvo type="percentile" val="50"/>
        <cfvo type="max"/>
        <color rgb="FF63BE7B"/>
        <color rgb="FFFFEB84"/>
        <color rgb="FFF8696B"/>
      </colorScale>
    </cfRule>
  </conditionalFormatting>
  <conditionalFormatting sqref="H167:H171">
    <cfRule type="colorScale" priority="84">
      <colorScale>
        <cfvo type="min"/>
        <cfvo type="percentile" val="50"/>
        <cfvo type="max"/>
        <color rgb="FFF8696B"/>
        <color rgb="FFFFEB84"/>
        <color rgb="FF63BE7B"/>
      </colorScale>
    </cfRule>
  </conditionalFormatting>
  <conditionalFormatting sqref="H203:H208">
    <cfRule type="colorScale" priority="131">
      <colorScale>
        <cfvo type="min"/>
        <cfvo type="percentile" val="50"/>
        <cfvo type="max"/>
        <color rgb="FF63BE7B"/>
        <color rgb="FFFFEB84"/>
        <color rgb="FFF8696B"/>
      </colorScale>
    </cfRule>
  </conditionalFormatting>
  <conditionalFormatting sqref="H204:H208">
    <cfRule type="colorScale" priority="132">
      <colorScale>
        <cfvo type="min"/>
        <cfvo type="percentile" val="50"/>
        <cfvo type="max"/>
        <color rgb="FFF8696B"/>
        <color rgb="FFFFEB84"/>
        <color rgb="FF63BE7B"/>
      </colorScale>
    </cfRule>
  </conditionalFormatting>
  <conditionalFormatting sqref="E86">
    <cfRule type="dataBar" priority="14">
      <dataBar>
        <cfvo type="min"/>
        <cfvo type="max"/>
        <color rgb="FF63C384"/>
      </dataBar>
      <extLst>
        <ext xmlns:x14="http://schemas.microsoft.com/office/spreadsheetml/2009/9/main" uri="{B025F937-C7B1-47D3-B67F-A62EFF666E3E}">
          <x14:id>{F039E0A3-D073-49B9-9C0B-AA960D34D987}</x14:id>
        </ext>
      </extLst>
    </cfRule>
  </conditionalFormatting>
  <conditionalFormatting sqref="G86">
    <cfRule type="dataBar" priority="13">
      <dataBar>
        <cfvo type="min"/>
        <cfvo type="max"/>
        <color rgb="FF63C384"/>
      </dataBar>
      <extLst>
        <ext xmlns:x14="http://schemas.microsoft.com/office/spreadsheetml/2009/9/main" uri="{B025F937-C7B1-47D3-B67F-A62EFF666E3E}">
          <x14:id>{79EEC527-8477-4AF8-A069-0331672747C7}</x14:id>
        </ext>
      </extLst>
    </cfRule>
  </conditionalFormatting>
  <conditionalFormatting sqref="I86">
    <cfRule type="dataBar" priority="12">
      <dataBar>
        <cfvo type="min"/>
        <cfvo type="max"/>
        <color rgb="FF63C384"/>
      </dataBar>
      <extLst>
        <ext xmlns:x14="http://schemas.microsoft.com/office/spreadsheetml/2009/9/main" uri="{B025F937-C7B1-47D3-B67F-A62EFF666E3E}">
          <x14:id>{A0B4993F-A3EA-4CA3-A3A9-02730470FF8C}</x14:id>
        </ext>
      </extLst>
    </cfRule>
  </conditionalFormatting>
  <conditionalFormatting sqref="H140:H144">
    <cfRule type="colorScale" priority="11">
      <colorScale>
        <cfvo type="min"/>
        <cfvo type="percentile" val="50"/>
        <cfvo type="max"/>
        <color rgb="FFF8696B"/>
        <color rgb="FFFFEB84"/>
        <color rgb="FF63BE7B"/>
      </colorScale>
    </cfRule>
  </conditionalFormatting>
  <conditionalFormatting sqref="H176:H180">
    <cfRule type="colorScale" priority="10">
      <colorScale>
        <cfvo type="min"/>
        <cfvo type="percentile" val="50"/>
        <cfvo type="max"/>
        <color rgb="FFF8696B"/>
        <color rgb="FFFFEB84"/>
        <color rgb="FF63BE7B"/>
      </colorScale>
    </cfRule>
  </conditionalFormatting>
  <conditionalFormatting sqref="H213:H217">
    <cfRule type="colorScale" priority="9">
      <colorScale>
        <cfvo type="min"/>
        <cfvo type="percentile" val="50"/>
        <cfvo type="max"/>
        <color rgb="FFF8696B"/>
        <color rgb="FFFFEB84"/>
        <color rgb="FF63BE7B"/>
      </colorScale>
    </cfRule>
  </conditionalFormatting>
  <conditionalFormatting sqref="E38:E58">
    <cfRule type="colorScale" priority="7">
      <colorScale>
        <cfvo type="min"/>
        <cfvo type="percentile" val="50"/>
        <cfvo type="max"/>
        <color rgb="FFF8696B"/>
        <color rgb="FFFCFCFF"/>
        <color rgb="FF63BE7B"/>
      </colorScale>
    </cfRule>
  </conditionalFormatting>
  <conditionalFormatting sqref="F38:F58">
    <cfRule type="colorScale" priority="4">
      <colorScale>
        <cfvo type="min"/>
        <cfvo type="percentile" val="50"/>
        <cfvo type="max"/>
        <color rgb="FFF8696B"/>
        <color rgb="FFFCFCFF"/>
        <color rgb="FF63BE7B"/>
      </colorScale>
    </cfRule>
  </conditionalFormatting>
  <conditionalFormatting sqref="C63:D65 C78:D78 D68:D77">
    <cfRule type="colorScale" priority="174">
      <colorScale>
        <cfvo type="min"/>
        <cfvo type="percentile" val="50"/>
        <cfvo type="max"/>
        <color rgb="FFF8696B"/>
        <color rgb="FFFCFCFF"/>
        <color rgb="FF63BE7B"/>
      </colorScale>
    </cfRule>
  </conditionalFormatting>
  <conditionalFormatting sqref="E63:E65 E68:E78">
    <cfRule type="colorScale" priority="177">
      <colorScale>
        <cfvo type="min"/>
        <cfvo type="percentile" val="50"/>
        <cfvo type="max"/>
        <color rgb="FFF8696B"/>
        <color rgb="FFFCFCFF"/>
        <color rgb="FF63BE7B"/>
      </colorScale>
    </cfRule>
  </conditionalFormatting>
  <hyperlinks>
    <hyperlink ref="B6" r:id="rId1" xr:uid="{761F1411-3B62-4C95-A356-2815EDBEBDE0}"/>
    <hyperlink ref="B209" r:id="rId2" xr:uid="{B0F3AEC3-FABF-4383-AA57-6E280D8AD500}"/>
    <hyperlink ref="B172" r:id="rId3" xr:uid="{B347FCC6-9015-4BD9-BD53-E4E422CB427F}"/>
    <hyperlink ref="B136" r:id="rId4" xr:uid="{6C32C03F-3F50-481B-ADA3-C60974CD776D}"/>
    <hyperlink ref="B98" r:id="rId5" xr:uid="{0902B24D-6AE5-456F-B87A-AE4027C04C01}"/>
    <hyperlink ref="B88" r:id="rId6" xr:uid="{D082646B-4C5B-48AB-B32A-E42667AFDEA5}"/>
    <hyperlink ref="B108" r:id="rId7" xr:uid="{8F1E8C08-4A96-4C21-BFDA-FF91AFE6EE0B}"/>
    <hyperlink ref="B145" r:id="rId8" xr:uid="{47CDBB75-FEF6-43C4-9897-496C0B4DA13C}"/>
    <hyperlink ref="B181" r:id="rId9" xr:uid="{2C3FB03F-7BE2-4D3B-9B38-924AFF023598}"/>
    <hyperlink ref="B218" r:id="rId10" xr:uid="{73483B71-875D-4485-B738-49BD1992CC9A}"/>
    <hyperlink ref="B231" r:id="rId11" xr:uid="{EA78672F-029D-4EB4-AF47-7FCEA2A911CE}"/>
    <hyperlink ref="B194" r:id="rId12" xr:uid="{B79B794E-4989-4EA5-997F-23043AEFF7A4}"/>
    <hyperlink ref="B158" r:id="rId13" xr:uid="{5D4DB795-19A9-4FE8-8344-17FA5F2C8F4C}"/>
    <hyperlink ref="B122" r:id="rId14" xr:uid="{989B42C8-303D-4A41-9B02-5775D0D29B77}"/>
  </hyperlinks>
  <pageMargins left="0.7" right="0.7" top="0.75" bottom="0.75" header="0.3" footer="0.3"/>
  <pageSetup paperSize="9" orientation="portrait" r:id="rId15"/>
  <drawing r:id="rId16"/>
  <extLst>
    <ext xmlns:x14="http://schemas.microsoft.com/office/spreadsheetml/2009/9/main" uri="{78C0D931-6437-407d-A8EE-F0AAD7539E65}">
      <x14:conditionalFormattings>
        <x14:conditionalFormatting xmlns:xm="http://schemas.microsoft.com/office/excel/2006/main">
          <x14:cfRule type="dataBar" id="{9DBF6096-D702-48EF-961E-644F84B3E1C1}">
            <x14:dataBar minLength="0" maxLength="100" border="1" negativeBarBorderColorSameAsPositive="0">
              <x14:cfvo type="autoMin"/>
              <x14:cfvo type="autoMax"/>
              <x14:borderColor rgb="FF63C384"/>
              <x14:negativeFillColor rgb="FFFF0000"/>
              <x14:negativeBorderColor rgb="FFFF0000"/>
              <x14:axisColor rgb="FF000000"/>
            </x14:dataBar>
          </x14:cfRule>
          <xm:sqref>E82:E85 E87</xm:sqref>
        </x14:conditionalFormatting>
        <x14:conditionalFormatting xmlns:xm="http://schemas.microsoft.com/office/excel/2006/main">
          <x14:cfRule type="dataBar" id="{8B9EFE12-C446-4107-9A6B-AD56C4DBCBF4}">
            <x14:dataBar minLength="0" maxLength="100" border="1" negativeBarBorderColorSameAsPositive="0">
              <x14:cfvo type="autoMin"/>
              <x14:cfvo type="autoMax"/>
              <x14:borderColor rgb="FF63C384"/>
              <x14:negativeFillColor rgb="FFFF0000"/>
              <x14:negativeBorderColor rgb="FFFF0000"/>
              <x14:axisColor rgb="FF000000"/>
            </x14:dataBar>
          </x14:cfRule>
          <xm:sqref>G82:G85 G87</xm:sqref>
        </x14:conditionalFormatting>
        <x14:conditionalFormatting xmlns:xm="http://schemas.microsoft.com/office/excel/2006/main">
          <x14:cfRule type="dataBar" id="{D53C9125-C0D0-477D-8166-7FFCD7CB6DED}">
            <x14:dataBar minLength="0" maxLength="100" border="1" negativeBarBorderColorSameAsPositive="0">
              <x14:cfvo type="autoMin"/>
              <x14:cfvo type="autoMax"/>
              <x14:borderColor rgb="FF63C384"/>
              <x14:negativeFillColor rgb="FFFF0000"/>
              <x14:negativeBorderColor rgb="FFFF0000"/>
              <x14:axisColor rgb="FF000000"/>
            </x14:dataBar>
          </x14:cfRule>
          <xm:sqref>I82:I85 I87</xm:sqref>
        </x14:conditionalFormatting>
        <x14:conditionalFormatting xmlns:xm="http://schemas.microsoft.com/office/excel/2006/main">
          <x14:cfRule type="dataBar" id="{D7DC0ED2-A60A-4DF6-8970-52C766D59C9F}">
            <x14:dataBar minLength="0" maxLength="100" border="1" negativeBarBorderColorSameAsPositive="0">
              <x14:cfvo type="autoMin"/>
              <x14:cfvo type="autoMax"/>
              <x14:borderColor rgb="FF63C384"/>
              <x14:negativeFillColor rgb="FFFF0000"/>
              <x14:negativeBorderColor rgb="FFFF0000"/>
              <x14:axisColor rgb="FF000000"/>
            </x14:dataBar>
          </x14:cfRule>
          <xm:sqref>F10:F11</xm:sqref>
        </x14:conditionalFormatting>
        <x14:conditionalFormatting xmlns:xm="http://schemas.microsoft.com/office/excel/2006/main">
          <x14:cfRule type="dataBar" id="{11D3BBFF-9C25-47B6-B341-927568FD7CD8}">
            <x14:dataBar minLength="0" maxLength="100" border="1" negativeBarBorderColorSameAsPositive="0">
              <x14:cfvo type="autoMin"/>
              <x14:cfvo type="autoMax"/>
              <x14:borderColor rgb="FF63C384"/>
              <x14:negativeFillColor rgb="FFFF0000"/>
              <x14:negativeBorderColor rgb="FFFF0000"/>
              <x14:axisColor rgb="FF000000"/>
            </x14:dataBar>
          </x14:cfRule>
          <xm:sqref>S10:S11</xm:sqref>
        </x14:conditionalFormatting>
        <x14:conditionalFormatting xmlns:xm="http://schemas.microsoft.com/office/excel/2006/main">
          <x14:cfRule type="dataBar" id="{F039E0A3-D073-49B9-9C0B-AA960D34D987}">
            <x14:dataBar minLength="0" maxLength="100" border="1" negativeBarBorderColorSameAsPositive="0">
              <x14:cfvo type="autoMin"/>
              <x14:cfvo type="autoMax"/>
              <x14:borderColor rgb="FF63C384"/>
              <x14:negativeFillColor rgb="FFFF0000"/>
              <x14:negativeBorderColor rgb="FFFF0000"/>
              <x14:axisColor rgb="FF000000"/>
            </x14:dataBar>
          </x14:cfRule>
          <xm:sqref>E86</xm:sqref>
        </x14:conditionalFormatting>
        <x14:conditionalFormatting xmlns:xm="http://schemas.microsoft.com/office/excel/2006/main">
          <x14:cfRule type="dataBar" id="{79EEC527-8477-4AF8-A069-0331672747C7}">
            <x14:dataBar minLength="0" maxLength="100" border="1" negativeBarBorderColorSameAsPositive="0">
              <x14:cfvo type="autoMin"/>
              <x14:cfvo type="autoMax"/>
              <x14:borderColor rgb="FF63C384"/>
              <x14:negativeFillColor rgb="FFFF0000"/>
              <x14:negativeBorderColor rgb="FFFF0000"/>
              <x14:axisColor rgb="FF000000"/>
            </x14:dataBar>
          </x14:cfRule>
          <xm:sqref>G86</xm:sqref>
        </x14:conditionalFormatting>
        <x14:conditionalFormatting xmlns:xm="http://schemas.microsoft.com/office/excel/2006/main">
          <x14:cfRule type="dataBar" id="{A0B4993F-A3EA-4CA3-A3A9-02730470FF8C}">
            <x14:dataBar minLength="0" maxLength="100" border="1" negativeBarBorderColorSameAsPositive="0">
              <x14:cfvo type="autoMin"/>
              <x14:cfvo type="autoMax"/>
              <x14:borderColor rgb="FF63C384"/>
              <x14:negativeFillColor rgb="FFFF0000"/>
              <x14:negativeBorderColor rgb="FFFF0000"/>
              <x14:axisColor rgb="FF000000"/>
            </x14:dataBar>
          </x14:cfRule>
          <xm:sqref>I86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AF24B-0A48-436C-A880-C643E7DB6F28}">
  <dimension ref="B4:I32"/>
  <sheetViews>
    <sheetView workbookViewId="0">
      <selection activeCell="B4" sqref="B4:I32"/>
    </sheetView>
  </sheetViews>
  <sheetFormatPr defaultRowHeight="15" x14ac:dyDescent="0.25"/>
  <cols>
    <col min="2" max="2" width="45" customWidth="1"/>
    <col min="3" max="9" width="15.7109375" customWidth="1"/>
  </cols>
  <sheetData>
    <row r="4" spans="2:9" x14ac:dyDescent="0.25">
      <c r="B4" s="16" t="s">
        <v>231</v>
      </c>
      <c r="C4" s="12"/>
      <c r="D4" s="12"/>
      <c r="F4" s="12"/>
      <c r="G4" s="12"/>
      <c r="H4" s="12"/>
      <c r="I4" s="12"/>
    </row>
    <row r="5" spans="2:9" ht="29.25" thickBot="1" x14ac:dyDescent="0.3">
      <c r="B5" s="43" t="s">
        <v>195</v>
      </c>
      <c r="C5" s="169">
        <v>2021</v>
      </c>
      <c r="D5" s="169">
        <v>2026</v>
      </c>
      <c r="E5" s="169" t="s">
        <v>232</v>
      </c>
      <c r="F5" s="169">
        <v>2031</v>
      </c>
      <c r="G5" s="169" t="s">
        <v>233</v>
      </c>
      <c r="H5" s="169">
        <v>2043</v>
      </c>
      <c r="I5" s="169" t="s">
        <v>234</v>
      </c>
    </row>
    <row r="6" spans="2:9" x14ac:dyDescent="0.25">
      <c r="B6" s="44" t="s">
        <v>201</v>
      </c>
      <c r="C6" s="45">
        <v>228446</v>
      </c>
      <c r="D6" s="45">
        <v>231611</v>
      </c>
      <c r="E6" s="46">
        <f t="shared" ref="E6:E20" si="0">D6/C6-100%</f>
        <v>1.3854477644607455E-2</v>
      </c>
      <c r="F6" s="45">
        <v>233319</v>
      </c>
      <c r="G6" s="46">
        <f t="shared" ref="G6:G20" si="1">F6/D6-100%</f>
        <v>7.374433856768503E-3</v>
      </c>
      <c r="H6" s="45">
        <v>237620</v>
      </c>
      <c r="I6" s="47">
        <f t="shared" ref="I6:I20" si="2">H6/F6-100%</f>
        <v>1.8433989516498883E-2</v>
      </c>
    </row>
    <row r="7" spans="2:9" x14ac:dyDescent="0.25">
      <c r="B7" s="48" t="s">
        <v>202</v>
      </c>
      <c r="C7" s="49">
        <v>228334</v>
      </c>
      <c r="D7" s="49">
        <v>230807</v>
      </c>
      <c r="E7" s="50">
        <f t="shared" si="0"/>
        <v>1.083062531204293E-2</v>
      </c>
      <c r="F7" s="49">
        <v>231534</v>
      </c>
      <c r="G7" s="50">
        <f t="shared" si="1"/>
        <v>3.1498178131512677E-3</v>
      </c>
      <c r="H7" s="49">
        <v>233176</v>
      </c>
      <c r="I7" s="51">
        <f t="shared" si="2"/>
        <v>7.091831005381577E-3</v>
      </c>
    </row>
    <row r="8" spans="2:9" ht="15.75" thickBot="1" x14ac:dyDescent="0.3">
      <c r="B8" s="52" t="s">
        <v>203</v>
      </c>
      <c r="C8" s="53">
        <v>228580</v>
      </c>
      <c r="D8" s="53">
        <v>232446</v>
      </c>
      <c r="E8" s="54">
        <f t="shared" si="0"/>
        <v>1.6913115758159014E-2</v>
      </c>
      <c r="F8" s="53">
        <v>235117</v>
      </c>
      <c r="G8" s="54">
        <f t="shared" si="1"/>
        <v>1.1490840883473963E-2</v>
      </c>
      <c r="H8" s="53">
        <v>242079</v>
      </c>
      <c r="I8" s="55">
        <f t="shared" si="2"/>
        <v>2.9610789521812508E-2</v>
      </c>
    </row>
    <row r="9" spans="2:9" x14ac:dyDescent="0.25">
      <c r="B9" s="56" t="s">
        <v>204</v>
      </c>
      <c r="C9" s="57">
        <v>54378</v>
      </c>
      <c r="D9" s="57">
        <v>55122</v>
      </c>
      <c r="E9" s="58">
        <f t="shared" si="0"/>
        <v>1.3682003751517069E-2</v>
      </c>
      <c r="F9" s="57">
        <v>55244</v>
      </c>
      <c r="G9" s="58">
        <f t="shared" si="1"/>
        <v>2.2132723776351337E-3</v>
      </c>
      <c r="H9" s="57">
        <v>55451</v>
      </c>
      <c r="I9" s="59">
        <f t="shared" si="2"/>
        <v>3.7470132503076847E-3</v>
      </c>
    </row>
    <row r="10" spans="2:9" x14ac:dyDescent="0.25">
      <c r="B10" s="60" t="s">
        <v>205</v>
      </c>
      <c r="C10" s="61">
        <v>54364</v>
      </c>
      <c r="D10" s="61">
        <v>55018</v>
      </c>
      <c r="E10" s="62">
        <f t="shared" si="0"/>
        <v>1.2030019866087871E-2</v>
      </c>
      <c r="F10" s="61">
        <v>54991</v>
      </c>
      <c r="G10" s="62">
        <f t="shared" si="1"/>
        <v>-4.9074848231489554E-4</v>
      </c>
      <c r="H10" s="61">
        <v>54750</v>
      </c>
      <c r="I10" s="63">
        <f t="shared" si="2"/>
        <v>-4.3825353239621556E-3</v>
      </c>
    </row>
    <row r="11" spans="2:9" ht="15.75" thickBot="1" x14ac:dyDescent="0.3">
      <c r="B11" s="64" t="s">
        <v>206</v>
      </c>
      <c r="C11" s="65">
        <v>54393</v>
      </c>
      <c r="D11" s="65">
        <v>55230</v>
      </c>
      <c r="E11" s="66">
        <f t="shared" si="0"/>
        <v>1.5388009486514864E-2</v>
      </c>
      <c r="F11" s="65">
        <v>55475</v>
      </c>
      <c r="G11" s="66">
        <f t="shared" si="1"/>
        <v>4.4359949302914536E-3</v>
      </c>
      <c r="H11" s="65">
        <v>56140</v>
      </c>
      <c r="I11" s="67">
        <f t="shared" si="2"/>
        <v>1.1987381703470135E-2</v>
      </c>
    </row>
    <row r="12" spans="2:9" x14ac:dyDescent="0.25">
      <c r="B12" s="44" t="s">
        <v>207</v>
      </c>
      <c r="C12" s="45">
        <v>71077</v>
      </c>
      <c r="D12" s="45">
        <v>71434</v>
      </c>
      <c r="E12" s="46">
        <f>D12/C12-100%</f>
        <v>5.0227218368812387E-3</v>
      </c>
      <c r="F12" s="45">
        <v>71958</v>
      </c>
      <c r="G12" s="46">
        <f>F12/D12-100%</f>
        <v>7.3354425063694162E-3</v>
      </c>
      <c r="H12" s="45">
        <v>73624</v>
      </c>
      <c r="I12" s="47">
        <f>H12/F12-100%</f>
        <v>2.3152394452319314E-2</v>
      </c>
    </row>
    <row r="13" spans="2:9" x14ac:dyDescent="0.25">
      <c r="B13" s="48" t="s">
        <v>208</v>
      </c>
      <c r="C13" s="49">
        <v>71027</v>
      </c>
      <c r="D13" s="49">
        <v>71056</v>
      </c>
      <c r="E13" s="50">
        <f t="shared" si="0"/>
        <v>4.0829543694642645E-4</v>
      </c>
      <c r="F13" s="49">
        <v>71163</v>
      </c>
      <c r="G13" s="50">
        <f t="shared" si="1"/>
        <v>1.5058545372663712E-3</v>
      </c>
      <c r="H13" s="49">
        <v>71163</v>
      </c>
      <c r="I13" s="51">
        <f t="shared" si="2"/>
        <v>0</v>
      </c>
    </row>
    <row r="14" spans="2:9" ht="15.75" thickBot="1" x14ac:dyDescent="0.3">
      <c r="B14" s="52" t="s">
        <v>209</v>
      </c>
      <c r="C14" s="53">
        <v>71133</v>
      </c>
      <c r="D14" s="53">
        <v>71795</v>
      </c>
      <c r="E14" s="54">
        <f t="shared" si="0"/>
        <v>9.3065103397860227E-3</v>
      </c>
      <c r="F14" s="53">
        <v>72732</v>
      </c>
      <c r="G14" s="54">
        <f t="shared" si="1"/>
        <v>1.3051048123128295E-2</v>
      </c>
      <c r="H14" s="53">
        <v>75480</v>
      </c>
      <c r="I14" s="55">
        <f t="shared" si="2"/>
        <v>3.7782544134631335E-2</v>
      </c>
    </row>
    <row r="15" spans="2:9" x14ac:dyDescent="0.25">
      <c r="B15" s="56" t="s">
        <v>210</v>
      </c>
      <c r="C15" s="57">
        <f>C6-C9-C12-C18</f>
        <v>33285</v>
      </c>
      <c r="D15" s="57">
        <f>D6-D9-D12-D18</f>
        <v>33741</v>
      </c>
      <c r="E15" s="58">
        <f t="shared" si="0"/>
        <v>1.3699864803965678E-2</v>
      </c>
      <c r="F15" s="57">
        <v>33963</v>
      </c>
      <c r="G15" s="58">
        <f t="shared" si="1"/>
        <v>6.5795323197297417E-3</v>
      </c>
      <c r="H15" s="57">
        <f>H6-H9-H12-H18</f>
        <v>34606</v>
      </c>
      <c r="I15" s="59">
        <f t="shared" si="2"/>
        <v>1.8932367576480313E-2</v>
      </c>
    </row>
    <row r="16" spans="2:9" x14ac:dyDescent="0.25">
      <c r="B16" s="60" t="s">
        <v>211</v>
      </c>
      <c r="C16" s="61">
        <f t="shared" ref="C16:D17" si="3">C7-C10-C13-C19</f>
        <v>33270</v>
      </c>
      <c r="D16" s="61">
        <f t="shared" si="3"/>
        <v>33594</v>
      </c>
      <c r="E16" s="62">
        <f t="shared" si="0"/>
        <v>9.7385031559964474E-3</v>
      </c>
      <c r="F16" s="61">
        <v>33610</v>
      </c>
      <c r="G16" s="62">
        <f t="shared" si="1"/>
        <v>4.7627552539153406E-4</v>
      </c>
      <c r="H16" s="61">
        <f>H7-H10-H13-H19</f>
        <v>34427</v>
      </c>
      <c r="I16" s="63">
        <f t="shared" si="2"/>
        <v>2.4308241594763524E-2</v>
      </c>
    </row>
    <row r="17" spans="2:9" ht="15.75" thickBot="1" x14ac:dyDescent="0.3">
      <c r="B17" s="64" t="s">
        <v>212</v>
      </c>
      <c r="C17" s="65">
        <f t="shared" si="3"/>
        <v>33316</v>
      </c>
      <c r="D17" s="65">
        <f t="shared" si="3"/>
        <v>33897</v>
      </c>
      <c r="E17" s="66">
        <f t="shared" si="0"/>
        <v>1.7439068315524109E-2</v>
      </c>
      <c r="F17" s="65">
        <v>34274</v>
      </c>
      <c r="G17" s="66">
        <f t="shared" si="1"/>
        <v>1.1121928194235409E-2</v>
      </c>
      <c r="H17" s="65">
        <f>H8-H11-H14-H20</f>
        <v>35274</v>
      </c>
      <c r="I17" s="67">
        <f t="shared" si="2"/>
        <v>2.9176635350411484E-2</v>
      </c>
    </row>
    <row r="18" spans="2:9" x14ac:dyDescent="0.25">
      <c r="B18" s="44" t="s">
        <v>213</v>
      </c>
      <c r="C18" s="45">
        <v>69706</v>
      </c>
      <c r="D18" s="45">
        <v>71314</v>
      </c>
      <c r="E18" s="46">
        <f t="shared" si="0"/>
        <v>2.3068315496513891E-2</v>
      </c>
      <c r="F18" s="45">
        <v>72154</v>
      </c>
      <c r="G18" s="46">
        <f t="shared" si="1"/>
        <v>1.1778893344925212E-2</v>
      </c>
      <c r="H18" s="45">
        <v>73939</v>
      </c>
      <c r="I18" s="47">
        <f t="shared" si="2"/>
        <v>2.4738753222274479E-2</v>
      </c>
    </row>
    <row r="19" spans="2:9" x14ac:dyDescent="0.25">
      <c r="B19" s="48" t="s">
        <v>214</v>
      </c>
      <c r="C19" s="49">
        <v>69673</v>
      </c>
      <c r="D19" s="49">
        <v>71139</v>
      </c>
      <c r="E19" s="50">
        <f t="shared" si="0"/>
        <v>2.104114936919621E-2</v>
      </c>
      <c r="F19" s="49">
        <v>71770</v>
      </c>
      <c r="G19" s="50">
        <f t="shared" si="1"/>
        <v>8.8699588130281004E-3</v>
      </c>
      <c r="H19" s="49">
        <v>72836</v>
      </c>
      <c r="I19" s="51">
        <f t="shared" si="2"/>
        <v>1.4853002647345681E-2</v>
      </c>
    </row>
    <row r="20" spans="2:9" ht="15.75" thickBot="1" x14ac:dyDescent="0.3">
      <c r="B20" s="52" t="s">
        <v>215</v>
      </c>
      <c r="C20" s="53">
        <v>69738</v>
      </c>
      <c r="D20" s="53">
        <v>71524</v>
      </c>
      <c r="E20" s="54">
        <f t="shared" si="0"/>
        <v>2.5610140812756255E-2</v>
      </c>
      <c r="F20" s="53">
        <v>72636</v>
      </c>
      <c r="G20" s="54">
        <f t="shared" si="1"/>
        <v>1.5547228902186738E-2</v>
      </c>
      <c r="H20" s="53">
        <v>75185</v>
      </c>
      <c r="I20" s="55">
        <f t="shared" si="2"/>
        <v>3.509279145327393E-2</v>
      </c>
    </row>
    <row r="22" spans="2:9" ht="28.5" x14ac:dyDescent="0.25">
      <c r="B22" s="118" t="s">
        <v>195</v>
      </c>
      <c r="C22" s="132">
        <v>2021</v>
      </c>
      <c r="D22" s="132">
        <v>2026</v>
      </c>
      <c r="E22" s="132">
        <v>2031</v>
      </c>
      <c r="F22" s="132">
        <v>2043</v>
      </c>
      <c r="G22" s="132" t="s">
        <v>235</v>
      </c>
    </row>
    <row r="23" spans="2:9" x14ac:dyDescent="0.25">
      <c r="B23" s="68" t="s">
        <v>201</v>
      </c>
      <c r="C23" s="49">
        <v>228446</v>
      </c>
      <c r="D23" s="49">
        <v>231611</v>
      </c>
      <c r="E23" s="49">
        <v>233319</v>
      </c>
      <c r="F23" s="49">
        <v>237620</v>
      </c>
      <c r="G23" s="147">
        <f>(F23-C23)/F23</f>
        <v>3.8607861291137108E-2</v>
      </c>
    </row>
    <row r="24" spans="2:9" x14ac:dyDescent="0.25">
      <c r="B24" s="68" t="s">
        <v>202</v>
      </c>
      <c r="C24" s="49">
        <v>228334</v>
      </c>
      <c r="D24" s="49">
        <v>230807</v>
      </c>
      <c r="E24" s="49">
        <v>231534</v>
      </c>
      <c r="F24" s="49">
        <v>233176</v>
      </c>
      <c r="G24" s="147">
        <f t="shared" ref="G24:G25" si="4">(F24-C24)/F24</f>
        <v>2.0765430404501319E-2</v>
      </c>
    </row>
    <row r="25" spans="2:9" x14ac:dyDescent="0.25">
      <c r="B25" s="68" t="s">
        <v>203</v>
      </c>
      <c r="C25" s="49">
        <v>228580</v>
      </c>
      <c r="D25" s="49">
        <v>232446</v>
      </c>
      <c r="E25" s="49">
        <v>235117</v>
      </c>
      <c r="F25" s="49">
        <v>242079</v>
      </c>
      <c r="G25" s="147">
        <f t="shared" si="4"/>
        <v>5.5762788180717865E-2</v>
      </c>
    </row>
    <row r="27" spans="2:9" ht="28.5" x14ac:dyDescent="0.25">
      <c r="B27" s="118" t="s">
        <v>195</v>
      </c>
      <c r="C27" s="132">
        <v>2021</v>
      </c>
      <c r="D27" s="132">
        <v>2026</v>
      </c>
      <c r="E27" s="132">
        <v>2031</v>
      </c>
      <c r="F27" s="132">
        <v>2043</v>
      </c>
      <c r="G27" s="132" t="s">
        <v>235</v>
      </c>
    </row>
    <row r="28" spans="2:9" x14ac:dyDescent="0.25">
      <c r="B28" s="69" t="s">
        <v>204</v>
      </c>
      <c r="C28" s="170">
        <f>C9</f>
        <v>54378</v>
      </c>
      <c r="D28" s="170">
        <f>D9</f>
        <v>55122</v>
      </c>
      <c r="E28" s="170">
        <f>F9</f>
        <v>55244</v>
      </c>
      <c r="F28" s="170">
        <f>H9</f>
        <v>55451</v>
      </c>
      <c r="G28" s="171">
        <f t="shared" ref="G28:G31" si="5">(F28-C28)/F28</f>
        <v>1.9350417485708104E-2</v>
      </c>
    </row>
    <row r="29" spans="2:9" x14ac:dyDescent="0.25">
      <c r="B29" s="69" t="s">
        <v>207</v>
      </c>
      <c r="C29" s="170">
        <f>C12</f>
        <v>71077</v>
      </c>
      <c r="D29" s="170">
        <f>D12</f>
        <v>71434</v>
      </c>
      <c r="E29" s="170">
        <f>F12</f>
        <v>71958</v>
      </c>
      <c r="F29" s="170">
        <f>H12</f>
        <v>73624</v>
      </c>
      <c r="G29" s="171">
        <f t="shared" si="5"/>
        <v>3.459469738128871E-2</v>
      </c>
    </row>
    <row r="30" spans="2:9" x14ac:dyDescent="0.25">
      <c r="B30" s="69" t="s">
        <v>210</v>
      </c>
      <c r="C30" s="170">
        <f>C15</f>
        <v>33285</v>
      </c>
      <c r="D30" s="170">
        <f>D15</f>
        <v>33741</v>
      </c>
      <c r="E30" s="170">
        <f>F15</f>
        <v>33963</v>
      </c>
      <c r="F30" s="170">
        <f>H15</f>
        <v>34606</v>
      </c>
      <c r="G30" s="171">
        <f t="shared" si="5"/>
        <v>3.8172571230422468E-2</v>
      </c>
    </row>
    <row r="31" spans="2:9" x14ac:dyDescent="0.25">
      <c r="B31" s="69" t="s">
        <v>213</v>
      </c>
      <c r="C31" s="170">
        <f>C18</f>
        <v>69706</v>
      </c>
      <c r="D31" s="170">
        <f>D18</f>
        <v>71314</v>
      </c>
      <c r="E31" s="170">
        <f>F18</f>
        <v>72154</v>
      </c>
      <c r="F31" s="170">
        <f>H18</f>
        <v>73939</v>
      </c>
      <c r="G31" s="171">
        <f t="shared" si="5"/>
        <v>5.7249895183867784E-2</v>
      </c>
    </row>
    <row r="32" spans="2:9" x14ac:dyDescent="0.25">
      <c r="B32" s="69" t="s">
        <v>201</v>
      </c>
      <c r="C32" s="170">
        <v>228446</v>
      </c>
      <c r="D32" s="170">
        <v>231611</v>
      </c>
      <c r="E32" s="170">
        <v>233319</v>
      </c>
      <c r="F32" s="170">
        <v>237620</v>
      </c>
      <c r="G32" s="171">
        <f>(F32-C32)/F32</f>
        <v>3.8607861291137108E-2</v>
      </c>
    </row>
  </sheetData>
  <conditionalFormatting sqref="E6:E8">
    <cfRule type="dataBar" priority="5">
      <dataBar>
        <cfvo type="min"/>
        <cfvo type="max"/>
        <color rgb="FF63C384"/>
      </dataBar>
      <extLst>
        <ext xmlns:x14="http://schemas.microsoft.com/office/spreadsheetml/2009/9/main" uri="{B025F937-C7B1-47D3-B67F-A62EFF666E3E}">
          <x14:id>{B98DDDAC-9C7C-4B8A-8674-3D7A5E5E56C1}</x14:id>
        </ext>
      </extLst>
    </cfRule>
  </conditionalFormatting>
  <conditionalFormatting sqref="G6:G8">
    <cfRule type="dataBar" priority="4">
      <dataBar>
        <cfvo type="min"/>
        <cfvo type="max"/>
        <color rgb="FF63C384"/>
      </dataBar>
      <extLst>
        <ext xmlns:x14="http://schemas.microsoft.com/office/spreadsheetml/2009/9/main" uri="{B025F937-C7B1-47D3-B67F-A62EFF666E3E}">
          <x14:id>{A6A91F30-27C7-4734-8BC6-C64AB2146590}</x14:id>
        </ext>
      </extLst>
    </cfRule>
  </conditionalFormatting>
  <conditionalFormatting sqref="I6:I8">
    <cfRule type="dataBar" priority="3">
      <dataBar>
        <cfvo type="min"/>
        <cfvo type="max"/>
        <color rgb="FF63C384"/>
      </dataBar>
      <extLst>
        <ext xmlns:x14="http://schemas.microsoft.com/office/spreadsheetml/2009/9/main" uri="{B025F937-C7B1-47D3-B67F-A62EFF666E3E}">
          <x14:id>{6ECF52F9-8368-4282-B721-A2F1CEFF89D4}</x14:id>
        </ext>
      </extLst>
    </cfRule>
  </conditionalFormatting>
  <conditionalFormatting sqref="G28:G32">
    <cfRule type="dataBar" priority="2">
      <dataBar>
        <cfvo type="min"/>
        <cfvo type="max"/>
        <color rgb="FF63C384"/>
      </dataBar>
      <extLst>
        <ext xmlns:x14="http://schemas.microsoft.com/office/spreadsheetml/2009/9/main" uri="{B025F937-C7B1-47D3-B67F-A62EFF666E3E}">
          <x14:id>{4CD728AF-3689-42E6-91AB-B636DD70CCC0}</x14:id>
        </ext>
      </extLst>
    </cfRule>
  </conditionalFormatting>
  <conditionalFormatting sqref="G23:G25">
    <cfRule type="dataBar" priority="1">
      <dataBar>
        <cfvo type="min"/>
        <cfvo type="max"/>
        <color rgb="FF63C384"/>
      </dataBar>
      <extLst>
        <ext xmlns:x14="http://schemas.microsoft.com/office/spreadsheetml/2009/9/main" uri="{B025F937-C7B1-47D3-B67F-A62EFF666E3E}">
          <x14:id>{D55710C5-A2DE-4343-AA77-BB23F0C36D79}</x14:id>
        </ext>
      </extLst>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B98DDDAC-9C7C-4B8A-8674-3D7A5E5E56C1}">
            <x14:dataBar minLength="0" maxLength="100" border="1" negativeBarBorderColorSameAsPositive="0">
              <x14:cfvo type="autoMin"/>
              <x14:cfvo type="autoMax"/>
              <x14:borderColor rgb="FF63C384"/>
              <x14:negativeFillColor rgb="FFFF0000"/>
              <x14:negativeBorderColor rgb="FFFF0000"/>
              <x14:axisColor rgb="FF000000"/>
            </x14:dataBar>
          </x14:cfRule>
          <xm:sqref>E6:E8</xm:sqref>
        </x14:conditionalFormatting>
        <x14:conditionalFormatting xmlns:xm="http://schemas.microsoft.com/office/excel/2006/main">
          <x14:cfRule type="dataBar" id="{A6A91F30-27C7-4734-8BC6-C64AB2146590}">
            <x14:dataBar minLength="0" maxLength="100" border="1" negativeBarBorderColorSameAsPositive="0">
              <x14:cfvo type="autoMin"/>
              <x14:cfvo type="autoMax"/>
              <x14:borderColor rgb="FF63C384"/>
              <x14:negativeFillColor rgb="FFFF0000"/>
              <x14:negativeBorderColor rgb="FFFF0000"/>
              <x14:axisColor rgb="FF000000"/>
            </x14:dataBar>
          </x14:cfRule>
          <xm:sqref>G6:G8</xm:sqref>
        </x14:conditionalFormatting>
        <x14:conditionalFormatting xmlns:xm="http://schemas.microsoft.com/office/excel/2006/main">
          <x14:cfRule type="dataBar" id="{6ECF52F9-8368-4282-B721-A2F1CEFF89D4}">
            <x14:dataBar minLength="0" maxLength="100" border="1" negativeBarBorderColorSameAsPositive="0">
              <x14:cfvo type="autoMin"/>
              <x14:cfvo type="autoMax"/>
              <x14:borderColor rgb="FF63C384"/>
              <x14:negativeFillColor rgb="FFFF0000"/>
              <x14:negativeBorderColor rgb="FFFF0000"/>
              <x14:axisColor rgb="FF000000"/>
            </x14:dataBar>
          </x14:cfRule>
          <xm:sqref>I6:I8</xm:sqref>
        </x14:conditionalFormatting>
        <x14:conditionalFormatting xmlns:xm="http://schemas.microsoft.com/office/excel/2006/main">
          <x14:cfRule type="dataBar" id="{4CD728AF-3689-42E6-91AB-B636DD70CCC0}">
            <x14:dataBar minLength="0" maxLength="100" border="1" negativeBarBorderColorSameAsPositive="0">
              <x14:cfvo type="autoMin"/>
              <x14:cfvo type="autoMax"/>
              <x14:borderColor rgb="FF63C384"/>
              <x14:negativeFillColor rgb="FFFF0000"/>
              <x14:negativeBorderColor rgb="FFFF0000"/>
              <x14:axisColor rgb="FF000000"/>
            </x14:dataBar>
          </x14:cfRule>
          <xm:sqref>G28:G32</xm:sqref>
        </x14:conditionalFormatting>
        <x14:conditionalFormatting xmlns:xm="http://schemas.microsoft.com/office/excel/2006/main">
          <x14:cfRule type="dataBar" id="{D55710C5-A2DE-4343-AA77-BB23F0C36D79}">
            <x14:dataBar minLength="0" maxLength="100" border="1" negativeBarBorderColorSameAsPositive="0">
              <x14:cfvo type="autoMin"/>
              <x14:cfvo type="autoMax"/>
              <x14:borderColor rgb="FF63C384"/>
              <x14:negativeFillColor rgb="FFFF0000"/>
              <x14:negativeBorderColor rgb="FFFF0000"/>
              <x14:axisColor rgb="FF000000"/>
            </x14:dataBar>
          </x14:cfRule>
          <xm:sqref>G23:G25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1F5BA-4C0B-4B33-8EFF-9D3F5B974467}">
  <sheetPr>
    <tabColor rgb="FFFFC000"/>
  </sheetPr>
  <dimension ref="A2:X268"/>
  <sheetViews>
    <sheetView showGridLines="0" topLeftCell="A72" zoomScale="85" zoomScaleNormal="85" workbookViewId="0">
      <selection activeCell="G104" sqref="G104"/>
    </sheetView>
  </sheetViews>
  <sheetFormatPr defaultRowHeight="14.25" x14ac:dyDescent="0.2"/>
  <cols>
    <col min="1" max="1" width="4.85546875" style="462" customWidth="1"/>
    <col min="2" max="2" width="29.7109375" style="462" customWidth="1"/>
    <col min="3" max="4" width="15.7109375" style="462" customWidth="1"/>
    <col min="5" max="5" width="16.42578125" style="462" customWidth="1"/>
    <col min="6" max="6" width="15.7109375" style="462" customWidth="1"/>
    <col min="7" max="7" width="16.42578125" style="462" customWidth="1"/>
    <col min="8" max="9" width="15.7109375" style="462" customWidth="1"/>
    <col min="10" max="10" width="22.7109375" style="462" customWidth="1"/>
    <col min="11" max="11" width="25.85546875" style="462" customWidth="1"/>
    <col min="12" max="12" width="24.7109375" style="462" customWidth="1"/>
    <col min="13" max="23" width="12.7109375" style="462" customWidth="1"/>
    <col min="24" max="29" width="20.7109375" style="462" customWidth="1"/>
    <col min="30" max="16384" width="9.140625" style="462"/>
  </cols>
  <sheetData>
    <row r="2" spans="1:10" ht="18" x14ac:dyDescent="0.2">
      <c r="B2" s="610" t="s">
        <v>35</v>
      </c>
      <c r="C2" s="610"/>
      <c r="D2" s="610"/>
      <c r="E2" s="610"/>
      <c r="F2" s="611"/>
      <c r="G2" s="610"/>
      <c r="H2" s="610"/>
      <c r="I2" s="610"/>
      <c r="J2" s="610"/>
    </row>
    <row r="3" spans="1:10" ht="18" x14ac:dyDescent="0.2">
      <c r="B3" s="613" t="s">
        <v>34</v>
      </c>
      <c r="C3" s="613"/>
      <c r="D3" s="613"/>
      <c r="E3" s="613"/>
      <c r="F3" s="614"/>
      <c r="G3" s="613"/>
      <c r="H3" s="613"/>
      <c r="I3" s="613"/>
      <c r="J3" s="613"/>
    </row>
    <row r="5" spans="1:10" ht="15" x14ac:dyDescent="0.2">
      <c r="B5" s="227" t="s">
        <v>732</v>
      </c>
    </row>
    <row r="6" spans="1:10" ht="34.5" customHeight="1" x14ac:dyDescent="0.2">
      <c r="A6" s="492"/>
      <c r="B6" s="548" t="s">
        <v>578</v>
      </c>
      <c r="C6" s="39" t="s">
        <v>38</v>
      </c>
      <c r="D6" s="39" t="s">
        <v>41</v>
      </c>
      <c r="E6" s="39" t="s">
        <v>565</v>
      </c>
      <c r="F6" s="39" t="s">
        <v>566</v>
      </c>
    </row>
    <row r="7" spans="1:10" x14ac:dyDescent="0.2">
      <c r="B7" s="367">
        <v>2004</v>
      </c>
      <c r="C7" s="364">
        <v>1999</v>
      </c>
      <c r="D7" s="364">
        <v>129573</v>
      </c>
      <c r="E7" s="364"/>
      <c r="F7" s="364"/>
    </row>
    <row r="8" spans="1:10" x14ac:dyDescent="0.2">
      <c r="B8" s="367">
        <f>B7+1</f>
        <v>2005</v>
      </c>
      <c r="C8" s="365">
        <v>2136</v>
      </c>
      <c r="D8" s="365">
        <v>137915</v>
      </c>
      <c r="E8" s="368">
        <f>(C8-C7)/C7</f>
        <v>6.8534267133566779E-2</v>
      </c>
      <c r="F8" s="368">
        <f>(D8-D7)/D7</f>
        <v>6.4380696595741402E-2</v>
      </c>
    </row>
    <row r="9" spans="1:10" x14ac:dyDescent="0.2">
      <c r="B9" s="367">
        <f t="shared" ref="B9:B24" si="0">B8+1</f>
        <v>2006</v>
      </c>
      <c r="C9" s="365">
        <v>2018</v>
      </c>
      <c r="D9" s="365">
        <v>148693</v>
      </c>
      <c r="E9" s="368">
        <f t="shared" ref="E9:E24" si="1">(C9-C8)/C8</f>
        <v>-5.5243445692883898E-2</v>
      </c>
      <c r="F9" s="368">
        <f t="shared" ref="F9:F24" si="2">(D9-D8)/D8</f>
        <v>7.8149584889243381E-2</v>
      </c>
    </row>
    <row r="10" spans="1:10" x14ac:dyDescent="0.2">
      <c r="B10" s="367">
        <f t="shared" si="0"/>
        <v>2007</v>
      </c>
      <c r="C10" s="365">
        <v>2087</v>
      </c>
      <c r="D10" s="365">
        <v>153146</v>
      </c>
      <c r="E10" s="368">
        <f t="shared" si="1"/>
        <v>3.4192269573835483E-2</v>
      </c>
      <c r="F10" s="368">
        <f t="shared" si="2"/>
        <v>2.9947610176672742E-2</v>
      </c>
    </row>
    <row r="11" spans="1:10" x14ac:dyDescent="0.2">
      <c r="B11" s="367">
        <f t="shared" si="0"/>
        <v>2008</v>
      </c>
      <c r="C11" s="365">
        <v>1614</v>
      </c>
      <c r="D11" s="365">
        <v>101354</v>
      </c>
      <c r="E11" s="368">
        <f t="shared" si="1"/>
        <v>-0.22664111164350742</v>
      </c>
      <c r="F11" s="368">
        <f t="shared" si="2"/>
        <v>-0.3381870894440599</v>
      </c>
    </row>
    <row r="12" spans="1:10" x14ac:dyDescent="0.2">
      <c r="B12" s="367">
        <f t="shared" si="0"/>
        <v>2009</v>
      </c>
      <c r="C12" s="365">
        <v>1334</v>
      </c>
      <c r="D12" s="365">
        <v>68874</v>
      </c>
      <c r="E12" s="368">
        <f t="shared" si="1"/>
        <v>-0.17348203221809169</v>
      </c>
      <c r="F12" s="368">
        <f t="shared" si="2"/>
        <v>-0.3204609586202814</v>
      </c>
    </row>
    <row r="13" spans="1:10" x14ac:dyDescent="0.2">
      <c r="B13" s="367">
        <f t="shared" si="0"/>
        <v>2010</v>
      </c>
      <c r="C13" s="365">
        <v>1437</v>
      </c>
      <c r="D13" s="365">
        <v>73665</v>
      </c>
      <c r="E13" s="368">
        <f t="shared" si="1"/>
        <v>7.7211394302848582E-2</v>
      </c>
      <c r="F13" s="368">
        <f t="shared" si="2"/>
        <v>6.9561808519905913E-2</v>
      </c>
    </row>
    <row r="14" spans="1:10" x14ac:dyDescent="0.2">
      <c r="B14" s="367">
        <f t="shared" si="0"/>
        <v>2011</v>
      </c>
      <c r="C14" s="365">
        <v>1173</v>
      </c>
      <c r="D14" s="365">
        <v>69229</v>
      </c>
      <c r="E14" s="368">
        <f t="shared" si="1"/>
        <v>-0.1837160751565762</v>
      </c>
      <c r="F14" s="368">
        <f t="shared" si="2"/>
        <v>-6.0218556980927172E-2</v>
      </c>
    </row>
    <row r="15" spans="1:10" x14ac:dyDescent="0.2">
      <c r="B15" s="367">
        <f t="shared" si="0"/>
        <v>2012</v>
      </c>
      <c r="C15" s="365">
        <v>1382</v>
      </c>
      <c r="D15" s="365">
        <v>72072</v>
      </c>
      <c r="E15" s="368">
        <f t="shared" si="1"/>
        <v>0.17817561807331628</v>
      </c>
      <c r="F15" s="368">
        <f t="shared" si="2"/>
        <v>4.1066605035462014E-2</v>
      </c>
    </row>
    <row r="16" spans="1:10" x14ac:dyDescent="0.2">
      <c r="B16" s="367">
        <f t="shared" si="0"/>
        <v>2013</v>
      </c>
      <c r="C16" s="365">
        <v>1441</v>
      </c>
      <c r="D16" s="365">
        <v>83992</v>
      </c>
      <c r="E16" s="368">
        <f t="shared" si="1"/>
        <v>4.2691751085383499E-2</v>
      </c>
      <c r="F16" s="368">
        <f t="shared" si="2"/>
        <v>0.16539016539016538</v>
      </c>
    </row>
    <row r="17" spans="1:16" x14ac:dyDescent="0.2">
      <c r="B17" s="367">
        <f t="shared" si="0"/>
        <v>2014</v>
      </c>
      <c r="C17" s="365">
        <v>1784</v>
      </c>
      <c r="D17" s="365">
        <v>93471</v>
      </c>
      <c r="E17" s="368">
        <f t="shared" si="1"/>
        <v>0.23802914642609299</v>
      </c>
      <c r="F17" s="368">
        <f t="shared" si="2"/>
        <v>0.11285598628440804</v>
      </c>
    </row>
    <row r="18" spans="1:16" x14ac:dyDescent="0.2">
      <c r="B18" s="367">
        <f t="shared" si="0"/>
        <v>2015</v>
      </c>
      <c r="C18" s="365">
        <v>1692</v>
      </c>
      <c r="D18" s="365">
        <v>97230</v>
      </c>
      <c r="E18" s="368">
        <f t="shared" si="1"/>
        <v>-5.1569506726457402E-2</v>
      </c>
      <c r="F18" s="368">
        <f t="shared" si="2"/>
        <v>4.0215681869242868E-2</v>
      </c>
    </row>
    <row r="19" spans="1:16" x14ac:dyDescent="0.2">
      <c r="B19" s="367">
        <f t="shared" si="0"/>
        <v>2016</v>
      </c>
      <c r="C19" s="365">
        <v>1770</v>
      </c>
      <c r="D19" s="365">
        <v>99840</v>
      </c>
      <c r="E19" s="368">
        <f t="shared" si="1"/>
        <v>4.6099290780141841E-2</v>
      </c>
      <c r="F19" s="368">
        <f t="shared" si="2"/>
        <v>2.6843566800370255E-2</v>
      </c>
    </row>
    <row r="20" spans="1:16" x14ac:dyDescent="0.2">
      <c r="B20" s="367">
        <f t="shared" si="0"/>
        <v>2017</v>
      </c>
      <c r="C20" s="365">
        <v>1772</v>
      </c>
      <c r="D20" s="365">
        <v>103923</v>
      </c>
      <c r="E20" s="368">
        <f t="shared" si="1"/>
        <v>1.1299435028248588E-3</v>
      </c>
      <c r="F20" s="368">
        <f t="shared" si="2"/>
        <v>4.0895432692307693E-2</v>
      </c>
    </row>
    <row r="21" spans="1:16" x14ac:dyDescent="0.2">
      <c r="B21" s="367">
        <f t="shared" si="0"/>
        <v>2018</v>
      </c>
      <c r="C21" s="365">
        <v>1668</v>
      </c>
      <c r="D21" s="365">
        <v>101492</v>
      </c>
      <c r="E21" s="368">
        <f t="shared" si="1"/>
        <v>-5.8690744920993229E-2</v>
      </c>
      <c r="F21" s="368">
        <f t="shared" si="2"/>
        <v>-2.339231931333776E-2</v>
      </c>
    </row>
    <row r="22" spans="1:16" x14ac:dyDescent="0.2">
      <c r="B22" s="367">
        <f t="shared" si="0"/>
        <v>2019</v>
      </c>
      <c r="C22" s="365">
        <v>1699</v>
      </c>
      <c r="D22" s="365">
        <v>103229</v>
      </c>
      <c r="E22" s="368">
        <f t="shared" si="1"/>
        <v>1.8585131894484411E-2</v>
      </c>
      <c r="F22" s="368">
        <f t="shared" si="2"/>
        <v>1.7114649430496984E-2</v>
      </c>
    </row>
    <row r="23" spans="1:16" x14ac:dyDescent="0.2">
      <c r="B23" s="367">
        <f t="shared" si="0"/>
        <v>2020</v>
      </c>
      <c r="C23" s="365">
        <v>1429</v>
      </c>
      <c r="D23" s="365">
        <v>85128</v>
      </c>
      <c r="E23" s="368">
        <f t="shared" si="1"/>
        <v>-0.15891701000588582</v>
      </c>
      <c r="F23" s="368">
        <f t="shared" si="2"/>
        <v>-0.17534801267085801</v>
      </c>
    </row>
    <row r="24" spans="1:16" x14ac:dyDescent="0.2">
      <c r="B24" s="367">
        <f t="shared" si="0"/>
        <v>2021</v>
      </c>
      <c r="C24" s="365">
        <v>1954</v>
      </c>
      <c r="D24" s="365">
        <v>116995</v>
      </c>
      <c r="E24" s="368">
        <f t="shared" si="1"/>
        <v>0.36738978306508047</v>
      </c>
      <c r="F24" s="368">
        <f t="shared" si="2"/>
        <v>0.37434216708955925</v>
      </c>
    </row>
    <row r="25" spans="1:16" x14ac:dyDescent="0.2">
      <c r="B25" s="367" t="s">
        <v>611</v>
      </c>
      <c r="C25" s="369">
        <f>(C24-C23)/C23</f>
        <v>0.36738978306508047</v>
      </c>
      <c r="D25" s="369">
        <f>(D24-D23)/D23</f>
        <v>0.37434216708955925</v>
      </c>
      <c r="E25" s="394"/>
    </row>
    <row r="26" spans="1:16" x14ac:dyDescent="0.2">
      <c r="B26" s="367" t="s">
        <v>612</v>
      </c>
      <c r="C26" s="369">
        <f>(C24-C7)/C7</f>
        <v>-2.2511255627813906E-2</v>
      </c>
      <c r="D26" s="369">
        <f>(D24-D7)/D7</f>
        <v>-9.7072692613430267E-2</v>
      </c>
      <c r="E26" s="394"/>
    </row>
    <row r="27" spans="1:16" x14ac:dyDescent="0.2">
      <c r="B27" s="367" t="s">
        <v>1076</v>
      </c>
      <c r="C27" s="369">
        <f>(C24-C14)/C14</f>
        <v>0.66581415174765557</v>
      </c>
      <c r="D27" s="369">
        <f>(D24-D14)/D14</f>
        <v>0.68997096592468476</v>
      </c>
      <c r="E27" s="394"/>
    </row>
    <row r="28" spans="1:16" x14ac:dyDescent="0.2">
      <c r="B28" s="624" t="s">
        <v>236</v>
      </c>
      <c r="C28" s="624"/>
      <c r="D28" s="624"/>
      <c r="E28" s="624"/>
      <c r="F28" s="624"/>
      <c r="G28" s="624"/>
      <c r="H28" s="624"/>
      <c r="L28" s="622"/>
      <c r="M28" s="622"/>
      <c r="N28" s="622"/>
      <c r="O28" s="622"/>
      <c r="P28" s="622"/>
    </row>
    <row r="30" spans="1:16" ht="15" x14ac:dyDescent="0.2">
      <c r="B30" s="227" t="s">
        <v>731</v>
      </c>
    </row>
    <row r="31" spans="1:16" ht="18" customHeight="1" x14ac:dyDescent="0.2">
      <c r="A31" s="492"/>
      <c r="B31" s="548" t="s">
        <v>118</v>
      </c>
      <c r="C31" s="39">
        <v>2020</v>
      </c>
      <c r="D31" s="39">
        <v>2021</v>
      </c>
      <c r="E31" s="41" t="s">
        <v>613</v>
      </c>
      <c r="G31" s="461"/>
    </row>
    <row r="32" spans="1:16" x14ac:dyDescent="0.2">
      <c r="A32" s="492"/>
      <c r="B32" s="358" t="s">
        <v>38</v>
      </c>
      <c r="C32" s="365">
        <v>1429</v>
      </c>
      <c r="D32" s="365">
        <v>1954</v>
      </c>
      <c r="E32" s="366">
        <f>(D32-C32)/C32</f>
        <v>0.36738978306508047</v>
      </c>
    </row>
    <row r="33" spans="1:10" x14ac:dyDescent="0.2">
      <c r="A33" s="492"/>
      <c r="B33" s="358" t="s">
        <v>41</v>
      </c>
      <c r="C33" s="365">
        <v>85128</v>
      </c>
      <c r="D33" s="365">
        <v>116995</v>
      </c>
      <c r="E33" s="366">
        <f>(D33-C33)/C33</f>
        <v>0.37434216708955925</v>
      </c>
      <c r="I33" s="462" t="s">
        <v>617</v>
      </c>
    </row>
    <row r="34" spans="1:10" x14ac:dyDescent="0.2">
      <c r="A34" s="492"/>
      <c r="B34" s="624" t="s">
        <v>236</v>
      </c>
      <c r="C34" s="624"/>
      <c r="D34" s="624"/>
      <c r="E34" s="624"/>
      <c r="F34" s="624"/>
      <c r="G34" s="624"/>
      <c r="H34" s="624"/>
    </row>
    <row r="35" spans="1:10" x14ac:dyDescent="0.2">
      <c r="A35" s="492"/>
      <c r="B35" s="529"/>
      <c r="C35" s="529"/>
      <c r="D35" s="529"/>
      <c r="E35" s="529"/>
      <c r="F35" s="529"/>
      <c r="G35" s="529"/>
      <c r="H35" s="529"/>
    </row>
    <row r="36" spans="1:10" ht="15" x14ac:dyDescent="0.2">
      <c r="A36" s="492"/>
      <c r="B36" s="227" t="s">
        <v>733</v>
      </c>
      <c r="C36" s="529"/>
      <c r="D36" s="529"/>
      <c r="E36" s="529"/>
      <c r="F36" s="529"/>
      <c r="G36" s="529"/>
      <c r="H36" s="529"/>
    </row>
    <row r="37" spans="1:10" ht="18.75" customHeight="1" x14ac:dyDescent="0.2">
      <c r="A37" s="492"/>
      <c r="B37" s="548" t="s">
        <v>118</v>
      </c>
      <c r="C37" s="39">
        <v>2011</v>
      </c>
      <c r="D37" s="39">
        <v>2021</v>
      </c>
      <c r="E37" s="41" t="s">
        <v>615</v>
      </c>
    </row>
    <row r="38" spans="1:10" x14ac:dyDescent="0.2">
      <c r="A38" s="492"/>
      <c r="B38" s="358" t="s">
        <v>38</v>
      </c>
      <c r="C38" s="365">
        <v>1173</v>
      </c>
      <c r="D38" s="365">
        <v>1954</v>
      </c>
      <c r="E38" s="366">
        <f>(D38-C38)/C38</f>
        <v>0.66581415174765557</v>
      </c>
    </row>
    <row r="39" spans="1:10" x14ac:dyDescent="0.2">
      <c r="A39" s="492"/>
      <c r="B39" s="358" t="s">
        <v>41</v>
      </c>
      <c r="C39" s="365">
        <v>69229</v>
      </c>
      <c r="D39" s="365">
        <v>116995</v>
      </c>
      <c r="E39" s="366">
        <f>(D39-C39)/C39</f>
        <v>0.68997096592468476</v>
      </c>
    </row>
    <row r="40" spans="1:10" x14ac:dyDescent="0.2">
      <c r="A40" s="492"/>
      <c r="B40" s="624" t="s">
        <v>236</v>
      </c>
      <c r="C40" s="624"/>
      <c r="D40" s="624"/>
      <c r="E40" s="624"/>
      <c r="F40" s="624"/>
      <c r="G40" s="624"/>
      <c r="H40" s="624"/>
    </row>
    <row r="41" spans="1:10" x14ac:dyDescent="0.2">
      <c r="A41" s="492"/>
      <c r="B41" s="529"/>
      <c r="C41" s="529"/>
      <c r="D41" s="529"/>
      <c r="E41" s="529"/>
      <c r="F41" s="529"/>
      <c r="G41" s="529"/>
      <c r="H41" s="529"/>
    </row>
    <row r="42" spans="1:10" ht="15" x14ac:dyDescent="0.2">
      <c r="A42" s="492"/>
      <c r="B42" s="227" t="s">
        <v>734</v>
      </c>
      <c r="C42" s="529"/>
      <c r="D42" s="529"/>
      <c r="E42" s="529"/>
      <c r="F42" s="529"/>
      <c r="G42" s="529"/>
      <c r="H42" s="529"/>
    </row>
    <row r="43" spans="1:10" ht="18.75" customHeight="1" x14ac:dyDescent="0.2">
      <c r="A43" s="492"/>
      <c r="B43" s="548" t="s">
        <v>118</v>
      </c>
      <c r="C43" s="39">
        <v>2004</v>
      </c>
      <c r="D43" s="39">
        <v>2021</v>
      </c>
      <c r="E43" s="41" t="s">
        <v>614</v>
      </c>
    </row>
    <row r="44" spans="1:10" x14ac:dyDescent="0.2">
      <c r="A44" s="492"/>
      <c r="B44" s="358" t="s">
        <v>38</v>
      </c>
      <c r="C44" s="364">
        <v>1999</v>
      </c>
      <c r="D44" s="365">
        <v>1954</v>
      </c>
      <c r="E44" s="366">
        <f>(D44-C44)/C44</f>
        <v>-2.2511255627813906E-2</v>
      </c>
    </row>
    <row r="45" spans="1:10" x14ac:dyDescent="0.2">
      <c r="B45" s="358" t="s">
        <v>41</v>
      </c>
      <c r="C45" s="364">
        <v>129573</v>
      </c>
      <c r="D45" s="365">
        <v>116995</v>
      </c>
      <c r="E45" s="366">
        <f>(D45-C45)/C45</f>
        <v>-9.7072692613430267E-2</v>
      </c>
    </row>
    <row r="46" spans="1:10" x14ac:dyDescent="0.2">
      <c r="B46" s="624" t="s">
        <v>236</v>
      </c>
      <c r="C46" s="624"/>
      <c r="D46" s="624"/>
      <c r="E46" s="624"/>
      <c r="F46" s="624"/>
      <c r="G46" s="624"/>
      <c r="H46" s="624"/>
    </row>
    <row r="47" spans="1:10" x14ac:dyDescent="0.2">
      <c r="B47" s="529"/>
      <c r="C47" s="529"/>
      <c r="D47" s="529"/>
      <c r="E47" s="529"/>
      <c r="F47" s="529"/>
      <c r="G47" s="529"/>
      <c r="H47" s="529"/>
    </row>
    <row r="48" spans="1:10" ht="15" x14ac:dyDescent="0.2">
      <c r="B48" s="227" t="s">
        <v>735</v>
      </c>
      <c r="I48" s="623" t="s">
        <v>237</v>
      </c>
      <c r="J48" s="623"/>
    </row>
    <row r="49" spans="1:9" ht="30" x14ac:dyDescent="0.2">
      <c r="A49" s="492"/>
      <c r="B49" s="548" t="s">
        <v>578</v>
      </c>
      <c r="C49" s="39" t="s">
        <v>38</v>
      </c>
      <c r="D49" s="39" t="s">
        <v>41</v>
      </c>
      <c r="E49" s="39" t="s">
        <v>565</v>
      </c>
      <c r="F49" s="39" t="s">
        <v>566</v>
      </c>
      <c r="G49" s="149" t="s">
        <v>238</v>
      </c>
      <c r="H49" s="150" t="s">
        <v>56</v>
      </c>
    </row>
    <row r="50" spans="1:9" ht="15" x14ac:dyDescent="0.2">
      <c r="B50" s="358">
        <v>2010</v>
      </c>
      <c r="C50" s="359">
        <v>140328.04</v>
      </c>
      <c r="D50" s="359">
        <v>156294.9</v>
      </c>
      <c r="E50" s="359"/>
      <c r="F50" s="359"/>
      <c r="G50" s="151"/>
      <c r="H50" s="151"/>
    </row>
    <row r="51" spans="1:9" ht="15" x14ac:dyDescent="0.2">
      <c r="B51" s="358">
        <v>2011</v>
      </c>
      <c r="C51" s="359">
        <v>138821.82999999999</v>
      </c>
      <c r="D51" s="359">
        <v>156184.85</v>
      </c>
      <c r="E51" s="360">
        <f>(C51-C50)/C50</f>
        <v>-1.0733492750273009E-2</v>
      </c>
      <c r="F51" s="360">
        <f>(D51-D50)/D50</f>
        <v>-7.041176647477836E-4</v>
      </c>
      <c r="G51" s="151"/>
      <c r="H51" s="151"/>
    </row>
    <row r="52" spans="1:9" ht="15" x14ac:dyDescent="0.2">
      <c r="B52" s="358">
        <v>2012</v>
      </c>
      <c r="C52" s="359">
        <v>145379.53</v>
      </c>
      <c r="D52" s="359">
        <v>154282.45000000001</v>
      </c>
      <c r="E52" s="360">
        <f t="shared" ref="E52:E61" si="3">(C52-C51)/C51</f>
        <v>4.7238247759736438E-2</v>
      </c>
      <c r="F52" s="360">
        <f t="shared" ref="F52:F61" si="4">(D52-D51)/D51</f>
        <v>-1.2180438755743556E-2</v>
      </c>
      <c r="G52" s="151"/>
      <c r="H52" s="151"/>
    </row>
    <row r="53" spans="1:9" ht="15" x14ac:dyDescent="0.2">
      <c r="B53" s="358">
        <v>2013</v>
      </c>
      <c r="C53" s="359">
        <v>143288.97</v>
      </c>
      <c r="D53" s="359">
        <v>156734.54999999999</v>
      </c>
      <c r="E53" s="360">
        <f t="shared" si="3"/>
        <v>-1.4380016223742074E-2</v>
      </c>
      <c r="F53" s="360">
        <f t="shared" si="4"/>
        <v>1.5893577007624501E-2</v>
      </c>
      <c r="G53" s="151"/>
      <c r="H53" s="151"/>
    </row>
    <row r="54" spans="1:9" ht="15" x14ac:dyDescent="0.2">
      <c r="B54" s="358">
        <v>2014</v>
      </c>
      <c r="C54" s="359">
        <v>147939.35</v>
      </c>
      <c r="D54" s="359">
        <v>163532.98000000001</v>
      </c>
      <c r="E54" s="360">
        <f t="shared" si="3"/>
        <v>3.245455669058131E-2</v>
      </c>
      <c r="F54" s="360">
        <f t="shared" si="4"/>
        <v>4.3375439556881508E-2</v>
      </c>
      <c r="G54" s="151"/>
      <c r="H54" s="151"/>
    </row>
    <row r="55" spans="1:9" ht="15" x14ac:dyDescent="0.2">
      <c r="B55" s="358">
        <v>2015</v>
      </c>
      <c r="C55" s="359">
        <v>152257.60999999999</v>
      </c>
      <c r="D55" s="359">
        <v>168723.18</v>
      </c>
      <c r="E55" s="360">
        <f t="shared" si="3"/>
        <v>2.9189394167271791E-2</v>
      </c>
      <c r="F55" s="360">
        <f t="shared" si="4"/>
        <v>3.1737940567095287E-2</v>
      </c>
      <c r="G55" s="151"/>
      <c r="H55" s="151"/>
    </row>
    <row r="56" spans="1:9" ht="15" x14ac:dyDescent="0.2">
      <c r="B56" s="358">
        <v>2016</v>
      </c>
      <c r="C56" s="359">
        <v>153265.35</v>
      </c>
      <c r="D56" s="359">
        <v>165670.99</v>
      </c>
      <c r="E56" s="360">
        <f t="shared" si="3"/>
        <v>6.6186511137277136E-3</v>
      </c>
      <c r="F56" s="360">
        <f t="shared" si="4"/>
        <v>-1.8089926944240872E-2</v>
      </c>
      <c r="G56" s="151"/>
      <c r="H56" s="151"/>
    </row>
    <row r="57" spans="1:9" ht="15" x14ac:dyDescent="0.2">
      <c r="B57" s="358">
        <v>2017</v>
      </c>
      <c r="C57" s="359">
        <v>158383.81</v>
      </c>
      <c r="D57" s="359">
        <v>172271.52</v>
      </c>
      <c r="E57" s="360">
        <f t="shared" si="3"/>
        <v>3.3396067669567792E-2</v>
      </c>
      <c r="F57" s="360">
        <f t="shared" si="4"/>
        <v>3.9841193681525049E-2</v>
      </c>
      <c r="G57" s="151"/>
      <c r="H57" s="151"/>
    </row>
    <row r="58" spans="1:9" ht="15" x14ac:dyDescent="0.2">
      <c r="B58" s="358">
        <v>2018</v>
      </c>
      <c r="C58" s="359">
        <v>166076.13</v>
      </c>
      <c r="D58" s="359">
        <v>178568</v>
      </c>
      <c r="E58" s="360">
        <f t="shared" si="3"/>
        <v>4.8567590336411323E-2</v>
      </c>
      <c r="F58" s="360">
        <f t="shared" si="4"/>
        <v>3.6549744264170951E-2</v>
      </c>
      <c r="G58" s="151"/>
      <c r="H58" s="151"/>
    </row>
    <row r="59" spans="1:9" ht="15" x14ac:dyDescent="0.2">
      <c r="B59" s="358">
        <v>2019</v>
      </c>
      <c r="C59" s="359">
        <v>169907.08</v>
      </c>
      <c r="D59" s="359">
        <v>180865.41</v>
      </c>
      <c r="E59" s="360">
        <f t="shared" si="3"/>
        <v>2.3067432989918434E-2</v>
      </c>
      <c r="F59" s="360">
        <f t="shared" si="4"/>
        <v>1.2865743022266047E-2</v>
      </c>
      <c r="G59" s="151"/>
      <c r="H59" s="151"/>
    </row>
    <row r="60" spans="1:9" ht="15" x14ac:dyDescent="0.2">
      <c r="B60" s="358">
        <v>2020</v>
      </c>
      <c r="C60" s="359">
        <v>176735.93</v>
      </c>
      <c r="D60" s="359">
        <v>188901.9</v>
      </c>
      <c r="E60" s="360">
        <f t="shared" si="3"/>
        <v>4.0191674178615786E-2</v>
      </c>
      <c r="F60" s="360">
        <f t="shared" si="4"/>
        <v>4.4433537623363085E-2</v>
      </c>
      <c r="G60" s="151"/>
      <c r="H60" s="151"/>
    </row>
    <row r="61" spans="1:9" ht="15" x14ac:dyDescent="0.2">
      <c r="B61" s="358">
        <v>2021</v>
      </c>
      <c r="C61" s="359">
        <v>185514.31880000001</v>
      </c>
      <c r="D61" s="359">
        <v>201159.76199999999</v>
      </c>
      <c r="E61" s="360">
        <f t="shared" si="3"/>
        <v>4.966951994424685E-2</v>
      </c>
      <c r="F61" s="360">
        <f t="shared" si="4"/>
        <v>6.4890093747071859E-2</v>
      </c>
      <c r="G61" s="151"/>
      <c r="H61" s="151"/>
    </row>
    <row r="62" spans="1:9" ht="15" x14ac:dyDescent="0.2">
      <c r="B62" s="358" t="s">
        <v>239</v>
      </c>
      <c r="C62" s="361">
        <f>(C61-C51)/C51</f>
        <v>0.33634831639951746</v>
      </c>
      <c r="D62" s="361">
        <f>(D61-D50)/D50</f>
        <v>0.28705262935642811</v>
      </c>
      <c r="E62" s="393"/>
      <c r="F62" s="363"/>
      <c r="G62" s="363"/>
      <c r="H62" s="151"/>
      <c r="I62" s="151"/>
    </row>
    <row r="63" spans="1:9" ht="15" customHeight="1" x14ac:dyDescent="0.2">
      <c r="B63" s="624" t="s">
        <v>236</v>
      </c>
      <c r="C63" s="624"/>
      <c r="D63" s="624"/>
      <c r="E63" s="624"/>
      <c r="F63" s="624"/>
      <c r="G63" s="624"/>
      <c r="H63" s="624"/>
    </row>
    <row r="64" spans="1:9" ht="15" customHeight="1" x14ac:dyDescent="0.2">
      <c r="B64" s="155"/>
      <c r="C64" s="154"/>
      <c r="D64" s="554"/>
      <c r="E64" s="555"/>
      <c r="F64" s="123"/>
      <c r="G64" s="155"/>
      <c r="H64" s="155"/>
    </row>
    <row r="65" spans="1:11" ht="15" customHeight="1" x14ac:dyDescent="0.2">
      <c r="B65" s="461"/>
      <c r="C65" s="461"/>
      <c r="D65" s="461"/>
      <c r="E65" s="461"/>
      <c r="F65" s="461"/>
      <c r="G65" s="461"/>
      <c r="H65" s="461"/>
      <c r="I65" s="154"/>
    </row>
    <row r="66" spans="1:11" ht="15" customHeight="1" x14ac:dyDescent="0.2">
      <c r="B66" s="461"/>
      <c r="C66" s="461"/>
      <c r="D66" s="461"/>
      <c r="E66" s="461"/>
      <c r="F66" s="461"/>
      <c r="G66" s="461"/>
      <c r="H66" s="461"/>
      <c r="I66" s="154"/>
    </row>
    <row r="67" spans="1:11" ht="15" customHeight="1" x14ac:dyDescent="0.2">
      <c r="H67" s="155"/>
    </row>
    <row r="68" spans="1:11" ht="15" x14ac:dyDescent="0.2">
      <c r="B68" s="122" t="s">
        <v>736</v>
      </c>
      <c r="I68" s="148"/>
      <c r="K68" s="148"/>
    </row>
    <row r="69" spans="1:11" ht="30" x14ac:dyDescent="0.2">
      <c r="A69" s="492"/>
      <c r="B69" s="548" t="s">
        <v>578</v>
      </c>
      <c r="C69" s="39" t="s">
        <v>38</v>
      </c>
      <c r="D69" s="39" t="s">
        <v>41</v>
      </c>
      <c r="E69" s="39" t="s">
        <v>565</v>
      </c>
      <c r="F69" s="39" t="s">
        <v>566</v>
      </c>
      <c r="G69" s="149"/>
    </row>
    <row r="70" spans="1:11" ht="15" x14ac:dyDescent="0.2">
      <c r="B70" s="358">
        <v>2010</v>
      </c>
      <c r="C70" s="359">
        <v>122500</v>
      </c>
      <c r="D70" s="359">
        <v>127500</v>
      </c>
      <c r="E70" s="359"/>
      <c r="F70" s="359"/>
      <c r="G70" s="198"/>
      <c r="J70" s="180"/>
    </row>
    <row r="71" spans="1:11" ht="15" x14ac:dyDescent="0.2">
      <c r="B71" s="358">
        <v>2011</v>
      </c>
      <c r="C71" s="359">
        <v>120000</v>
      </c>
      <c r="D71" s="359">
        <v>129000</v>
      </c>
      <c r="E71" s="360">
        <f>(C71-C70)/C70</f>
        <v>-2.0408163265306121E-2</v>
      </c>
      <c r="F71" s="360">
        <f>(D71-D70)/D70</f>
        <v>1.1764705882352941E-2</v>
      </c>
      <c r="G71" s="198"/>
      <c r="I71" s="151"/>
      <c r="J71" s="181"/>
    </row>
    <row r="72" spans="1:11" ht="15" x14ac:dyDescent="0.2">
      <c r="B72" s="358">
        <v>2012</v>
      </c>
      <c r="C72" s="359">
        <v>125000</v>
      </c>
      <c r="D72" s="359">
        <v>125000</v>
      </c>
      <c r="E72" s="360">
        <f t="shared" ref="E72:E81" si="5">(C72-C71)/C71</f>
        <v>4.1666666666666664E-2</v>
      </c>
      <c r="F72" s="360">
        <f t="shared" ref="F72:F81" si="6">(D72-D71)/D71</f>
        <v>-3.1007751937984496E-2</v>
      </c>
      <c r="G72" s="198"/>
      <c r="I72" s="151"/>
      <c r="J72" s="180"/>
    </row>
    <row r="73" spans="1:11" ht="15" x14ac:dyDescent="0.2">
      <c r="B73" s="358">
        <v>2013</v>
      </c>
      <c r="C73" s="359">
        <v>129800</v>
      </c>
      <c r="D73" s="359">
        <v>130000</v>
      </c>
      <c r="E73" s="360">
        <f t="shared" si="5"/>
        <v>3.8399999999999997E-2</v>
      </c>
      <c r="F73" s="360">
        <f t="shared" si="6"/>
        <v>0.04</v>
      </c>
      <c r="G73" s="198"/>
      <c r="I73" s="151"/>
      <c r="J73" s="180"/>
    </row>
    <row r="74" spans="1:11" ht="15" x14ac:dyDescent="0.2">
      <c r="B74" s="358">
        <v>2014</v>
      </c>
      <c r="C74" s="359">
        <v>133575</v>
      </c>
      <c r="D74" s="359">
        <v>135950</v>
      </c>
      <c r="E74" s="360">
        <f t="shared" si="5"/>
        <v>2.9083204930662559E-2</v>
      </c>
      <c r="F74" s="360">
        <f t="shared" si="6"/>
        <v>4.576923076923077E-2</v>
      </c>
      <c r="G74" s="198"/>
      <c r="I74" s="151"/>
      <c r="J74" s="180"/>
    </row>
    <row r="75" spans="1:11" ht="15" x14ac:dyDescent="0.2">
      <c r="B75" s="358">
        <v>2015</v>
      </c>
      <c r="C75" s="359">
        <v>138000</v>
      </c>
      <c r="D75" s="359">
        <v>140000</v>
      </c>
      <c r="E75" s="360">
        <f t="shared" si="5"/>
        <v>3.3127456485120721E-2</v>
      </c>
      <c r="F75" s="360">
        <f t="shared" si="6"/>
        <v>2.9790364104450167E-2</v>
      </c>
      <c r="G75" s="198"/>
      <c r="I75" s="151"/>
      <c r="J75" s="180"/>
    </row>
    <row r="76" spans="1:11" ht="15" x14ac:dyDescent="0.2">
      <c r="B76" s="358">
        <v>2016</v>
      </c>
      <c r="C76" s="359">
        <v>140000</v>
      </c>
      <c r="D76" s="359">
        <v>140000</v>
      </c>
      <c r="E76" s="360">
        <f t="shared" si="5"/>
        <v>1.4492753623188406E-2</v>
      </c>
      <c r="F76" s="360">
        <f t="shared" si="6"/>
        <v>0</v>
      </c>
      <c r="G76" s="198"/>
      <c r="I76" s="151"/>
      <c r="J76" s="180"/>
    </row>
    <row r="77" spans="1:11" ht="15" x14ac:dyDescent="0.2">
      <c r="B77" s="358">
        <v>2017</v>
      </c>
      <c r="C77" s="359">
        <v>144000</v>
      </c>
      <c r="D77" s="359">
        <v>145000</v>
      </c>
      <c r="E77" s="360">
        <f t="shared" si="5"/>
        <v>2.8571428571428571E-2</v>
      </c>
      <c r="F77" s="360">
        <f t="shared" si="6"/>
        <v>3.5714285714285712E-2</v>
      </c>
      <c r="G77" s="198"/>
      <c r="I77" s="151"/>
      <c r="J77" s="180"/>
    </row>
    <row r="78" spans="1:11" ht="15" x14ac:dyDescent="0.2">
      <c r="B78" s="358">
        <v>2018</v>
      </c>
      <c r="C78" s="359">
        <v>153000</v>
      </c>
      <c r="D78" s="359">
        <v>151000</v>
      </c>
      <c r="E78" s="360">
        <f t="shared" si="5"/>
        <v>6.25E-2</v>
      </c>
      <c r="F78" s="360">
        <f t="shared" si="6"/>
        <v>4.1379310344827586E-2</v>
      </c>
      <c r="G78" s="198"/>
      <c r="I78" s="151"/>
      <c r="J78" s="180"/>
    </row>
    <row r="79" spans="1:11" ht="15" x14ac:dyDescent="0.2">
      <c r="B79" s="358">
        <v>2019</v>
      </c>
      <c r="C79" s="359">
        <v>157500</v>
      </c>
      <c r="D79" s="359">
        <v>155000</v>
      </c>
      <c r="E79" s="360">
        <f t="shared" si="5"/>
        <v>2.9411764705882353E-2</v>
      </c>
      <c r="F79" s="360">
        <f t="shared" si="6"/>
        <v>2.6490066225165563E-2</v>
      </c>
      <c r="G79" s="198"/>
      <c r="I79" s="151"/>
      <c r="J79" s="180"/>
    </row>
    <row r="80" spans="1:11" ht="15" x14ac:dyDescent="0.2">
      <c r="B80" s="358">
        <v>2020</v>
      </c>
      <c r="C80" s="359">
        <v>163000</v>
      </c>
      <c r="D80" s="359">
        <v>162000</v>
      </c>
      <c r="E80" s="360">
        <f t="shared" si="5"/>
        <v>3.4920634920634921E-2</v>
      </c>
      <c r="F80" s="360">
        <f t="shared" si="6"/>
        <v>4.5161290322580643E-2</v>
      </c>
      <c r="G80" s="198"/>
      <c r="I80" s="151"/>
      <c r="J80" s="180"/>
    </row>
    <row r="81" spans="2:12" ht="15" x14ac:dyDescent="0.2">
      <c r="B81" s="358">
        <v>2021</v>
      </c>
      <c r="C81" s="359">
        <v>161159</v>
      </c>
      <c r="D81" s="359">
        <v>170050</v>
      </c>
      <c r="E81" s="360">
        <f t="shared" si="5"/>
        <v>-1.1294478527607362E-2</v>
      </c>
      <c r="F81" s="360">
        <f t="shared" si="6"/>
        <v>4.9691358024691358E-2</v>
      </c>
      <c r="G81" s="198"/>
      <c r="I81" s="151"/>
      <c r="J81" s="180"/>
    </row>
    <row r="82" spans="2:12" ht="15" x14ac:dyDescent="0.2">
      <c r="B82" s="358" t="s">
        <v>239</v>
      </c>
      <c r="C82" s="361">
        <f>(C81-C71)/C71</f>
        <v>0.34299166666666664</v>
      </c>
      <c r="D82" s="361">
        <f>(D81-D71)/D71</f>
        <v>0.31821705426356589</v>
      </c>
      <c r="E82" s="393"/>
      <c r="F82" s="362"/>
      <c r="G82" s="362"/>
      <c r="H82" s="198"/>
      <c r="J82" s="151"/>
      <c r="K82" s="180"/>
    </row>
    <row r="83" spans="2:12" x14ac:dyDescent="0.2">
      <c r="B83" s="624" t="s">
        <v>236</v>
      </c>
      <c r="C83" s="624"/>
      <c r="D83" s="624"/>
      <c r="E83" s="624"/>
      <c r="F83" s="624"/>
      <c r="G83" s="624"/>
      <c r="H83" s="624"/>
      <c r="L83" s="180"/>
    </row>
    <row r="84" spans="2:12" x14ac:dyDescent="0.2">
      <c r="B84" s="529"/>
      <c r="C84" s="529"/>
      <c r="D84" s="529"/>
      <c r="E84" s="529"/>
      <c r="F84" s="529"/>
      <c r="G84" s="529"/>
      <c r="H84" s="529"/>
      <c r="L84" s="180"/>
    </row>
    <row r="85" spans="2:12" ht="15" x14ac:dyDescent="0.25">
      <c r="B85" s="530" t="s">
        <v>976</v>
      </c>
      <c r="C85" s="529"/>
      <c r="D85" s="529"/>
      <c r="E85" s="529"/>
      <c r="F85" s="529"/>
      <c r="G85" s="529"/>
      <c r="H85" s="529"/>
      <c r="L85" s="180"/>
    </row>
    <row r="86" spans="2:12" ht="15" x14ac:dyDescent="0.2">
      <c r="B86" s="524" t="s">
        <v>975</v>
      </c>
      <c r="C86" s="525" t="s">
        <v>240</v>
      </c>
      <c r="D86" s="525" t="s">
        <v>241</v>
      </c>
      <c r="E86" s="525" t="s">
        <v>242</v>
      </c>
      <c r="F86" s="525" t="s">
        <v>243</v>
      </c>
      <c r="G86" s="525" t="s">
        <v>244</v>
      </c>
      <c r="H86" s="525" t="s">
        <v>245</v>
      </c>
      <c r="I86" s="525" t="s">
        <v>246</v>
      </c>
      <c r="J86" s="525" t="s">
        <v>247</v>
      </c>
      <c r="L86" s="180"/>
    </row>
    <row r="87" spans="2:12" ht="15" x14ac:dyDescent="0.2">
      <c r="B87" s="526" t="s">
        <v>279</v>
      </c>
      <c r="C87" s="478">
        <v>152747.3088235294</v>
      </c>
      <c r="D87" s="479">
        <v>140000</v>
      </c>
      <c r="E87" s="478">
        <v>825000</v>
      </c>
      <c r="F87" s="478">
        <v>35000</v>
      </c>
      <c r="G87" s="480">
        <v>95000</v>
      </c>
      <c r="H87" s="480">
        <v>105000</v>
      </c>
      <c r="I87" s="480">
        <v>195000</v>
      </c>
      <c r="J87" s="480">
        <v>825000</v>
      </c>
      <c r="L87" s="180"/>
    </row>
    <row r="88" spans="2:12" ht="15" x14ac:dyDescent="0.2">
      <c r="B88" s="526" t="s">
        <v>280</v>
      </c>
      <c r="C88" s="483">
        <v>166391.30769230769</v>
      </c>
      <c r="D88" s="479">
        <v>165000</v>
      </c>
      <c r="E88" s="478">
        <v>350000</v>
      </c>
      <c r="F88" s="478">
        <v>54000</v>
      </c>
      <c r="G88" s="480">
        <v>120000</v>
      </c>
      <c r="H88" s="480">
        <v>165000</v>
      </c>
      <c r="I88" s="480">
        <v>168087</v>
      </c>
      <c r="J88" s="480">
        <v>350000</v>
      </c>
      <c r="L88" s="180"/>
    </row>
    <row r="89" spans="2:12" ht="15" x14ac:dyDescent="0.2">
      <c r="B89" s="526" t="s">
        <v>281</v>
      </c>
      <c r="C89" s="483">
        <v>171539.43741935483</v>
      </c>
      <c r="D89" s="479">
        <v>165000</v>
      </c>
      <c r="E89" s="478">
        <v>570000</v>
      </c>
      <c r="F89" s="478">
        <v>20000</v>
      </c>
      <c r="G89" s="480">
        <v>115000</v>
      </c>
      <c r="H89" s="480">
        <v>165000</v>
      </c>
      <c r="I89" s="480">
        <v>215000</v>
      </c>
      <c r="J89" s="480">
        <v>570000</v>
      </c>
      <c r="L89" s="180"/>
    </row>
    <row r="90" spans="2:12" ht="15" x14ac:dyDescent="0.2">
      <c r="B90" s="526" t="s">
        <v>282</v>
      </c>
      <c r="C90" s="483">
        <v>183324.5198019802</v>
      </c>
      <c r="D90" s="479">
        <v>175000</v>
      </c>
      <c r="E90" s="478">
        <v>675000</v>
      </c>
      <c r="F90" s="478">
        <v>33000</v>
      </c>
      <c r="G90" s="480">
        <v>113000</v>
      </c>
      <c r="H90" s="480">
        <v>175000</v>
      </c>
      <c r="I90" s="480">
        <v>227950</v>
      </c>
      <c r="J90" s="480">
        <v>675000</v>
      </c>
      <c r="L90" s="180"/>
    </row>
    <row r="91" spans="2:12" ht="15" x14ac:dyDescent="0.2">
      <c r="B91" s="526" t="s">
        <v>283</v>
      </c>
      <c r="C91" s="483">
        <v>156950.36440677967</v>
      </c>
      <c r="D91" s="479">
        <v>140000</v>
      </c>
      <c r="E91" s="478">
        <v>470000</v>
      </c>
      <c r="F91" s="478">
        <v>25000</v>
      </c>
      <c r="G91" s="480">
        <v>107000</v>
      </c>
      <c r="H91" s="480">
        <v>140000</v>
      </c>
      <c r="I91" s="480">
        <v>185000</v>
      </c>
      <c r="J91" s="480">
        <v>470000</v>
      </c>
      <c r="L91" s="180"/>
    </row>
    <row r="92" spans="2:12" ht="15" x14ac:dyDescent="0.2">
      <c r="B92" s="526" t="s">
        <v>284</v>
      </c>
      <c r="C92" s="483">
        <v>181091.28695652174</v>
      </c>
      <c r="D92" s="479">
        <v>155000</v>
      </c>
      <c r="E92" s="478">
        <v>515000</v>
      </c>
      <c r="F92" s="478">
        <v>43000</v>
      </c>
      <c r="G92" s="480">
        <v>105000</v>
      </c>
      <c r="H92" s="480">
        <v>155000</v>
      </c>
      <c r="I92" s="480">
        <v>230000</v>
      </c>
      <c r="J92" s="480">
        <v>515000</v>
      </c>
      <c r="L92" s="180"/>
    </row>
    <row r="93" spans="2:12" ht="15" x14ac:dyDescent="0.2">
      <c r="B93" s="526" t="s">
        <v>38</v>
      </c>
      <c r="C93" s="483">
        <f>AVERAGE(C87:C92)</f>
        <v>168674.03751674559</v>
      </c>
      <c r="D93" s="479">
        <v>159000</v>
      </c>
      <c r="E93" s="478">
        <v>825000</v>
      </c>
      <c r="F93" s="478">
        <v>20000</v>
      </c>
      <c r="G93" s="480">
        <v>110000</v>
      </c>
      <c r="H93" s="480">
        <v>159000</v>
      </c>
      <c r="I93" s="480">
        <v>215000</v>
      </c>
      <c r="J93" s="480">
        <v>825000</v>
      </c>
      <c r="L93" s="180"/>
    </row>
    <row r="94" spans="2:12" x14ac:dyDescent="0.2">
      <c r="B94" s="462" t="s">
        <v>248</v>
      </c>
      <c r="L94" s="180"/>
    </row>
    <row r="95" spans="2:12" x14ac:dyDescent="0.2">
      <c r="L95" s="180"/>
    </row>
    <row r="96" spans="2:12" ht="15" x14ac:dyDescent="0.25">
      <c r="B96" s="122" t="s">
        <v>977</v>
      </c>
      <c r="C96" s="461"/>
      <c r="D96" s="461"/>
      <c r="E96" s="461"/>
      <c r="F96" s="461"/>
      <c r="G96" s="273"/>
      <c r="K96" s="492"/>
    </row>
    <row r="97" spans="1:10" ht="15" x14ac:dyDescent="0.2">
      <c r="A97" s="492"/>
      <c r="B97" s="548" t="s">
        <v>118</v>
      </c>
      <c r="C97" s="39" t="s">
        <v>240</v>
      </c>
      <c r="D97" s="39" t="s">
        <v>241</v>
      </c>
      <c r="E97" s="39" t="s">
        <v>242</v>
      </c>
      <c r="F97" s="39" t="s">
        <v>243</v>
      </c>
      <c r="G97" s="39" t="s">
        <v>244</v>
      </c>
      <c r="H97" s="39" t="s">
        <v>245</v>
      </c>
      <c r="I97" s="39" t="s">
        <v>246</v>
      </c>
      <c r="J97" s="39" t="s">
        <v>247</v>
      </c>
    </row>
    <row r="98" spans="1:10" ht="15" x14ac:dyDescent="0.2">
      <c r="B98" s="527" t="s">
        <v>279</v>
      </c>
      <c r="C98" s="384">
        <v>143070</v>
      </c>
      <c r="D98" s="384">
        <v>127000</v>
      </c>
      <c r="E98" s="384">
        <v>420000</v>
      </c>
      <c r="F98" s="384">
        <v>28000</v>
      </c>
      <c r="G98" s="384">
        <v>90000</v>
      </c>
      <c r="H98" s="384">
        <v>127000</v>
      </c>
      <c r="I98" s="384">
        <v>18000</v>
      </c>
      <c r="J98" s="384">
        <v>420000</v>
      </c>
    </row>
    <row r="99" spans="1:10" ht="15" x14ac:dyDescent="0.2">
      <c r="B99" s="527" t="s">
        <v>280</v>
      </c>
      <c r="C99" s="384">
        <v>139319</v>
      </c>
      <c r="D99" s="384">
        <v>122500</v>
      </c>
      <c r="E99" s="384">
        <v>468000</v>
      </c>
      <c r="F99" s="384">
        <v>24600</v>
      </c>
      <c r="G99" s="384">
        <v>82500</v>
      </c>
      <c r="H99" s="384">
        <v>130000</v>
      </c>
      <c r="I99" s="384">
        <v>180500</v>
      </c>
      <c r="J99" s="384">
        <v>468000</v>
      </c>
    </row>
    <row r="100" spans="1:10" ht="15" x14ac:dyDescent="0.2">
      <c r="B100" s="527" t="s">
        <v>281</v>
      </c>
      <c r="C100" s="384">
        <v>173675</v>
      </c>
      <c r="D100" s="384">
        <v>165000</v>
      </c>
      <c r="E100" s="384">
        <v>662000</v>
      </c>
      <c r="F100" s="384">
        <v>20000</v>
      </c>
      <c r="G100" s="384">
        <v>113000</v>
      </c>
      <c r="H100" s="384">
        <v>165000</v>
      </c>
      <c r="I100" s="384">
        <v>220000</v>
      </c>
      <c r="J100" s="384">
        <v>662000</v>
      </c>
    </row>
    <row r="101" spans="1:10" ht="15" x14ac:dyDescent="0.2">
      <c r="B101" s="527" t="s">
        <v>282</v>
      </c>
      <c r="C101" s="384">
        <v>175340</v>
      </c>
      <c r="D101" s="384">
        <v>155000</v>
      </c>
      <c r="E101" s="384">
        <v>700000</v>
      </c>
      <c r="F101" s="384">
        <v>20500</v>
      </c>
      <c r="G101" s="384">
        <v>110000</v>
      </c>
      <c r="H101" s="384">
        <v>155000</v>
      </c>
      <c r="I101" s="384">
        <v>212277</v>
      </c>
      <c r="J101" s="384">
        <v>700000</v>
      </c>
    </row>
    <row r="102" spans="1:10" ht="15" x14ac:dyDescent="0.2">
      <c r="B102" s="527" t="s">
        <v>283</v>
      </c>
      <c r="C102" s="384">
        <v>156243</v>
      </c>
      <c r="D102" s="384">
        <v>135000</v>
      </c>
      <c r="E102" s="384">
        <v>520000</v>
      </c>
      <c r="F102" s="384">
        <v>40000</v>
      </c>
      <c r="G102" s="384">
        <v>102500</v>
      </c>
      <c r="H102" s="384">
        <v>135000</v>
      </c>
      <c r="I102" s="384">
        <v>200000</v>
      </c>
      <c r="J102" s="384">
        <v>520000</v>
      </c>
    </row>
    <row r="103" spans="1:10" ht="15" x14ac:dyDescent="0.2">
      <c r="B103" s="527" t="s">
        <v>284</v>
      </c>
      <c r="C103" s="384">
        <v>158403</v>
      </c>
      <c r="D103" s="384">
        <v>133250</v>
      </c>
      <c r="E103" s="384">
        <v>435000</v>
      </c>
      <c r="F103" s="384">
        <v>32000</v>
      </c>
      <c r="G103" s="384">
        <v>100000</v>
      </c>
      <c r="H103" s="384">
        <v>126500</v>
      </c>
      <c r="I103" s="384">
        <v>205000</v>
      </c>
      <c r="J103" s="384">
        <v>435000</v>
      </c>
    </row>
    <row r="104" spans="1:10" x14ac:dyDescent="0.2">
      <c r="B104" s="528" t="s">
        <v>314</v>
      </c>
      <c r="C104" s="382">
        <v>166487</v>
      </c>
      <c r="D104" s="382">
        <v>150000</v>
      </c>
      <c r="E104" s="382">
        <v>700000</v>
      </c>
      <c r="F104" s="383">
        <v>20000</v>
      </c>
      <c r="G104" s="383">
        <v>105000</v>
      </c>
      <c r="H104" s="383">
        <v>150000</v>
      </c>
      <c r="I104" s="383">
        <v>210950</v>
      </c>
      <c r="J104" s="383">
        <v>700000</v>
      </c>
    </row>
    <row r="105" spans="1:10" x14ac:dyDescent="0.2">
      <c r="B105" s="622" t="s">
        <v>248</v>
      </c>
      <c r="C105" s="622"/>
      <c r="D105" s="622"/>
      <c r="E105" s="622"/>
      <c r="F105" s="622"/>
      <c r="G105" s="622"/>
      <c r="H105" s="622"/>
    </row>
    <row r="106" spans="1:10" x14ac:dyDescent="0.2">
      <c r="B106" s="549"/>
      <c r="C106" s="549"/>
      <c r="D106" s="549"/>
      <c r="E106" s="549"/>
      <c r="F106" s="549"/>
      <c r="G106" s="549"/>
      <c r="H106" s="549"/>
    </row>
    <row r="108" spans="1:10" ht="15" x14ac:dyDescent="0.2">
      <c r="B108" s="122" t="s">
        <v>737</v>
      </c>
    </row>
    <row r="109" spans="1:10" ht="30" x14ac:dyDescent="0.2">
      <c r="A109" s="492"/>
      <c r="B109" s="39" t="s">
        <v>249</v>
      </c>
      <c r="C109" s="39">
        <v>2011</v>
      </c>
      <c r="D109" s="39">
        <v>2020</v>
      </c>
      <c r="E109" s="39">
        <v>2021</v>
      </c>
      <c r="F109" s="39" t="s">
        <v>250</v>
      </c>
      <c r="G109" s="39" t="s">
        <v>251</v>
      </c>
    </row>
    <row r="110" spans="1:10" x14ac:dyDescent="0.2">
      <c r="B110" s="358" t="s">
        <v>38</v>
      </c>
      <c r="C110" s="370">
        <f>H117</f>
        <v>574.75</v>
      </c>
      <c r="D110" s="370">
        <f>H124</f>
        <v>689</v>
      </c>
      <c r="E110" s="370">
        <f>H131</f>
        <v>695.75</v>
      </c>
      <c r="F110" s="370">
        <f>E110-C110</f>
        <v>121</v>
      </c>
      <c r="G110" s="370">
        <f>E110-D110</f>
        <v>6.75</v>
      </c>
    </row>
    <row r="111" spans="1:10" x14ac:dyDescent="0.2">
      <c r="B111" s="358" t="s">
        <v>41</v>
      </c>
      <c r="C111" s="370">
        <f>H118</f>
        <v>674.75</v>
      </c>
      <c r="D111" s="370">
        <f>H125</f>
        <v>854.25</v>
      </c>
      <c r="E111" s="370">
        <f>H132</f>
        <v>860.25</v>
      </c>
      <c r="F111" s="370">
        <f>E111-C111</f>
        <v>185.5</v>
      </c>
      <c r="G111" s="370">
        <f>E111-D111</f>
        <v>6</v>
      </c>
    </row>
    <row r="112" spans="1:10" x14ac:dyDescent="0.2">
      <c r="B112" s="622" t="str">
        <f>'1.5 - 1.9 Housing Affordability'!$B$119</f>
        <v>Source: Scottish Government BRMA Dataset 2021</v>
      </c>
      <c r="C112" s="622"/>
      <c r="D112" s="622"/>
      <c r="E112" s="622"/>
      <c r="F112" s="622"/>
      <c r="G112" s="622"/>
      <c r="H112" s="622"/>
    </row>
    <row r="113" spans="1:9" x14ac:dyDescent="0.2">
      <c r="B113" s="123"/>
    </row>
    <row r="114" spans="1:9" ht="15" thickBot="1" x14ac:dyDescent="0.25">
      <c r="B114" s="123"/>
    </row>
    <row r="115" spans="1:9" ht="15" x14ac:dyDescent="0.2">
      <c r="B115" s="124" t="s">
        <v>738</v>
      </c>
      <c r="C115" s="556"/>
      <c r="D115" s="556"/>
      <c r="E115" s="556"/>
      <c r="F115" s="556"/>
      <c r="G115" s="556"/>
      <c r="H115" s="556"/>
      <c r="I115" s="557"/>
    </row>
    <row r="116" spans="1:9" ht="45" x14ac:dyDescent="0.2">
      <c r="A116" s="492"/>
      <c r="B116" s="621" t="s">
        <v>252</v>
      </c>
      <c r="C116" s="619"/>
      <c r="D116" s="548" t="s">
        <v>253</v>
      </c>
      <c r="E116" s="548" t="s">
        <v>254</v>
      </c>
      <c r="F116" s="548" t="s">
        <v>255</v>
      </c>
      <c r="G116" s="548" t="s">
        <v>256</v>
      </c>
      <c r="H116" s="39" t="s">
        <v>257</v>
      </c>
      <c r="I116" s="126"/>
    </row>
    <row r="117" spans="1:9" x14ac:dyDescent="0.2">
      <c r="B117" s="617" t="s">
        <v>38</v>
      </c>
      <c r="C117" s="618"/>
      <c r="D117" s="370">
        <v>420</v>
      </c>
      <c r="E117" s="370">
        <v>514</v>
      </c>
      <c r="F117" s="370">
        <v>620</v>
      </c>
      <c r="G117" s="370">
        <v>745</v>
      </c>
      <c r="H117" s="390">
        <f>AVERAGE(C117:G117)</f>
        <v>574.75</v>
      </c>
      <c r="I117" s="126"/>
    </row>
    <row r="118" spans="1:9" x14ac:dyDescent="0.2">
      <c r="B118" s="617" t="s">
        <v>41</v>
      </c>
      <c r="C118" s="618"/>
      <c r="D118" s="370">
        <v>451</v>
      </c>
      <c r="E118" s="370">
        <v>570</v>
      </c>
      <c r="F118" s="370">
        <v>693</v>
      </c>
      <c r="G118" s="370">
        <v>985</v>
      </c>
      <c r="H118" s="390">
        <f>AVERAGE(C118:G118)</f>
        <v>674.75</v>
      </c>
      <c r="I118" s="126"/>
    </row>
    <row r="119" spans="1:9" x14ac:dyDescent="0.2">
      <c r="B119" s="558" t="s">
        <v>258</v>
      </c>
      <c r="E119" s="549"/>
      <c r="F119" s="549"/>
      <c r="G119" s="549"/>
      <c r="I119" s="126"/>
    </row>
    <row r="120" spans="1:9" x14ac:dyDescent="0.2">
      <c r="B120" s="125"/>
      <c r="C120" s="559"/>
      <c r="D120" s="559"/>
      <c r="I120" s="126"/>
    </row>
    <row r="121" spans="1:9" x14ac:dyDescent="0.2">
      <c r="B121" s="125"/>
      <c r="I121" s="126"/>
    </row>
    <row r="122" spans="1:9" ht="15" x14ac:dyDescent="0.2">
      <c r="B122" s="127" t="s">
        <v>739</v>
      </c>
      <c r="I122" s="126"/>
    </row>
    <row r="123" spans="1:9" ht="45" x14ac:dyDescent="0.2">
      <c r="A123" s="492"/>
      <c r="B123" s="621" t="s">
        <v>259</v>
      </c>
      <c r="C123" s="619"/>
      <c r="D123" s="548" t="s">
        <v>253</v>
      </c>
      <c r="E123" s="548" t="s">
        <v>254</v>
      </c>
      <c r="F123" s="548" t="s">
        <v>255</v>
      </c>
      <c r="G123" s="548" t="s">
        <v>256</v>
      </c>
      <c r="H123" s="39" t="s">
        <v>260</v>
      </c>
      <c r="I123" s="128" t="s">
        <v>261</v>
      </c>
    </row>
    <row r="124" spans="1:9" x14ac:dyDescent="0.2">
      <c r="B124" s="617" t="s">
        <v>38</v>
      </c>
      <c r="C124" s="618"/>
      <c r="D124" s="370">
        <v>493</v>
      </c>
      <c r="E124" s="370">
        <v>607</v>
      </c>
      <c r="F124" s="370">
        <v>727</v>
      </c>
      <c r="G124" s="370">
        <v>929</v>
      </c>
      <c r="H124" s="390">
        <f>AVERAGE(C124:G124)</f>
        <v>689</v>
      </c>
      <c r="I124" s="507">
        <f>(H124-H117)/H117</f>
        <v>0.1987820791648543</v>
      </c>
    </row>
    <row r="125" spans="1:9" x14ac:dyDescent="0.2">
      <c r="B125" s="617" t="s">
        <v>41</v>
      </c>
      <c r="C125" s="618"/>
      <c r="D125" s="370">
        <v>542</v>
      </c>
      <c r="E125" s="370">
        <v>689</v>
      </c>
      <c r="F125" s="370">
        <v>844</v>
      </c>
      <c r="G125" s="370">
        <v>1342</v>
      </c>
      <c r="H125" s="390">
        <f>AVERAGE(C125:G125)</f>
        <v>854.25</v>
      </c>
      <c r="I125" s="507">
        <f>(H125-H118)/H118</f>
        <v>0.26602445350129678</v>
      </c>
    </row>
    <row r="126" spans="1:9" x14ac:dyDescent="0.2">
      <c r="B126" s="558" t="s">
        <v>258</v>
      </c>
      <c r="E126" s="549"/>
      <c r="F126" s="549"/>
      <c r="G126" s="549"/>
      <c r="H126" s="549"/>
      <c r="I126" s="126"/>
    </row>
    <row r="127" spans="1:9" x14ac:dyDescent="0.2">
      <c r="B127" s="125"/>
      <c r="C127" s="559"/>
      <c r="D127" s="559"/>
      <c r="I127" s="126"/>
    </row>
    <row r="128" spans="1:9" x14ac:dyDescent="0.2">
      <c r="B128" s="125"/>
      <c r="I128" s="126"/>
    </row>
    <row r="129" spans="1:16" ht="15" x14ac:dyDescent="0.2">
      <c r="B129" s="127" t="s">
        <v>740</v>
      </c>
      <c r="I129" s="126"/>
      <c r="N129" s="154"/>
    </row>
    <row r="130" spans="1:16" ht="45" x14ac:dyDescent="0.2">
      <c r="A130" s="492"/>
      <c r="B130" s="621" t="s">
        <v>262</v>
      </c>
      <c r="C130" s="619"/>
      <c r="D130" s="548" t="s">
        <v>253</v>
      </c>
      <c r="E130" s="548" t="s">
        <v>254</v>
      </c>
      <c r="F130" s="548" t="s">
        <v>255</v>
      </c>
      <c r="G130" s="548" t="s">
        <v>256</v>
      </c>
      <c r="H130" s="39" t="s">
        <v>1077</v>
      </c>
      <c r="I130" s="128" t="s">
        <v>263</v>
      </c>
    </row>
    <row r="131" spans="1:16" x14ac:dyDescent="0.2">
      <c r="B131" s="617" t="s">
        <v>38</v>
      </c>
      <c r="C131" s="618"/>
      <c r="D131" s="370">
        <v>494</v>
      </c>
      <c r="E131" s="370">
        <v>612</v>
      </c>
      <c r="F131" s="370">
        <v>737</v>
      </c>
      <c r="G131" s="370">
        <v>940</v>
      </c>
      <c r="H131" s="390">
        <f>AVERAGE(C131:G131)</f>
        <v>695.75</v>
      </c>
      <c r="I131" s="507">
        <f>(H131-H124)/H124</f>
        <v>9.7968069666182871E-3</v>
      </c>
    </row>
    <row r="132" spans="1:16" x14ac:dyDescent="0.2">
      <c r="B132" s="617" t="s">
        <v>41</v>
      </c>
      <c r="C132" s="618"/>
      <c r="D132" s="370">
        <v>546</v>
      </c>
      <c r="E132" s="370">
        <v>693</v>
      </c>
      <c r="F132" s="370">
        <v>844</v>
      </c>
      <c r="G132" s="370">
        <v>1358</v>
      </c>
      <c r="H132" s="390">
        <f>AVERAGE(C132:G132)</f>
        <v>860.25</v>
      </c>
      <c r="I132" s="507">
        <f>(H132-H125)/H125</f>
        <v>7.0237050043898156E-3</v>
      </c>
    </row>
    <row r="133" spans="1:16" x14ac:dyDescent="0.2">
      <c r="B133" s="558" t="s">
        <v>258</v>
      </c>
      <c r="C133" s="549"/>
      <c r="D133" s="549"/>
      <c r="E133" s="549"/>
      <c r="F133" s="549"/>
      <c r="G133" s="549"/>
      <c r="H133" s="506">
        <f>(H132-H131)/H131</f>
        <v>0.23643550125763566</v>
      </c>
      <c r="I133" s="126"/>
    </row>
    <row r="134" spans="1:16" ht="15" thickBot="1" x14ac:dyDescent="0.25">
      <c r="B134" s="129"/>
      <c r="C134" s="560"/>
      <c r="D134" s="560"/>
      <c r="E134" s="130"/>
      <c r="F134" s="130"/>
      <c r="G134" s="130"/>
      <c r="H134" s="130"/>
      <c r="I134" s="131"/>
    </row>
    <row r="135" spans="1:16" x14ac:dyDescent="0.2">
      <c r="B135" s="154"/>
    </row>
    <row r="137" spans="1:16" ht="15" x14ac:dyDescent="0.2">
      <c r="B137" s="122" t="s">
        <v>961</v>
      </c>
      <c r="H137" s="461"/>
    </row>
    <row r="138" spans="1:16" ht="28.5" x14ac:dyDescent="0.2">
      <c r="B138" s="600" t="s">
        <v>264</v>
      </c>
      <c r="C138" s="619"/>
      <c r="D138" s="43" t="s">
        <v>253</v>
      </c>
      <c r="E138" s="43" t="s">
        <v>254</v>
      </c>
      <c r="F138" s="43" t="s">
        <v>255</v>
      </c>
      <c r="G138" s="43" t="s">
        <v>256</v>
      </c>
      <c r="H138" s="512" t="s">
        <v>618</v>
      </c>
      <c r="I138" s="169" t="s">
        <v>963</v>
      </c>
      <c r="J138" s="550" t="s">
        <v>265</v>
      </c>
    </row>
    <row r="139" spans="1:16" x14ac:dyDescent="0.2">
      <c r="B139" s="620" t="s">
        <v>959</v>
      </c>
      <c r="C139" s="619"/>
      <c r="D139" s="392">
        <v>423.84</v>
      </c>
      <c r="E139" s="392">
        <v>548.51</v>
      </c>
      <c r="F139" s="392">
        <v>633.27</v>
      </c>
      <c r="G139" s="444">
        <v>797.81</v>
      </c>
      <c r="H139" s="392">
        <f>AVERAGE(C139:G139)</f>
        <v>600.85749999999996</v>
      </c>
      <c r="I139" s="514">
        <v>695.75</v>
      </c>
      <c r="J139" s="445">
        <f>I139/H139</f>
        <v>1.1579284605750948</v>
      </c>
    </row>
    <row r="140" spans="1:16" x14ac:dyDescent="0.2">
      <c r="B140" s="620" t="s">
        <v>960</v>
      </c>
      <c r="C140" s="619"/>
      <c r="D140" s="392">
        <v>423.84</v>
      </c>
      <c r="E140" s="392">
        <v>593.36</v>
      </c>
      <c r="F140" s="392">
        <v>747.93</v>
      </c>
      <c r="G140" s="444">
        <v>997.27</v>
      </c>
      <c r="H140" s="392">
        <f>AVERAGE(C140:G140)</f>
        <v>690.6</v>
      </c>
      <c r="I140" s="515">
        <v>696</v>
      </c>
      <c r="J140" s="446">
        <f>I140/H140</f>
        <v>1.0078192875760208</v>
      </c>
    </row>
    <row r="141" spans="1:16" x14ac:dyDescent="0.2">
      <c r="B141" s="529" t="s">
        <v>962</v>
      </c>
      <c r="C141" s="549"/>
      <c r="D141" s="549"/>
      <c r="E141" s="549"/>
      <c r="F141" s="549"/>
      <c r="G141" s="549"/>
      <c r="H141" s="549"/>
    </row>
    <row r="143" spans="1:16" ht="15" x14ac:dyDescent="0.25">
      <c r="B143" s="122" t="s">
        <v>741</v>
      </c>
      <c r="H143" s="461"/>
      <c r="I143" s="460"/>
      <c r="J143" s="461"/>
    </row>
    <row r="144" spans="1:16" ht="31.5" customHeight="1" x14ac:dyDescent="0.2">
      <c r="A144" s="492"/>
      <c r="B144" s="132" t="s">
        <v>266</v>
      </c>
      <c r="C144" s="550" t="s">
        <v>267</v>
      </c>
      <c r="D144" s="550" t="s">
        <v>253</v>
      </c>
      <c r="E144" s="550" t="s">
        <v>254</v>
      </c>
      <c r="F144" s="550" t="s">
        <v>255</v>
      </c>
      <c r="G144" s="550" t="s">
        <v>268</v>
      </c>
      <c r="H144" s="132" t="s">
        <v>621</v>
      </c>
      <c r="K144" s="132"/>
      <c r="L144" s="132" t="s">
        <v>623</v>
      </c>
      <c r="M144" s="132" t="s">
        <v>624</v>
      </c>
      <c r="N144" s="132" t="s">
        <v>626</v>
      </c>
      <c r="O144" s="132" t="s">
        <v>627</v>
      </c>
      <c r="P144" s="132" t="s">
        <v>625</v>
      </c>
    </row>
    <row r="145" spans="1:24" ht="39" customHeight="1" x14ac:dyDescent="0.2">
      <c r="B145" s="358" t="s">
        <v>333</v>
      </c>
      <c r="C145" s="370">
        <v>174.07</v>
      </c>
      <c r="D145" s="370">
        <v>235.39</v>
      </c>
      <c r="E145" s="370">
        <v>276.77</v>
      </c>
      <c r="F145" s="370">
        <v>320.97000000000003</v>
      </c>
      <c r="G145" s="370">
        <v>414.4</v>
      </c>
      <c r="H145" s="391">
        <v>277.85000000000002</v>
      </c>
      <c r="J145" s="561"/>
      <c r="K145" s="358" t="s">
        <v>38</v>
      </c>
      <c r="L145" s="370">
        <v>277.85000000000002</v>
      </c>
      <c r="M145" s="370">
        <v>386.14</v>
      </c>
      <c r="N145" s="374">
        <v>600.85749999999996</v>
      </c>
      <c r="O145" s="152">
        <v>690.6</v>
      </c>
      <c r="P145" s="133">
        <v>696</v>
      </c>
    </row>
    <row r="146" spans="1:24" x14ac:dyDescent="0.2">
      <c r="B146" s="529" t="s">
        <v>620</v>
      </c>
      <c r="C146" s="549"/>
      <c r="D146" s="549"/>
      <c r="E146" s="529"/>
      <c r="F146" s="529"/>
      <c r="G146" s="549"/>
      <c r="H146" s="549"/>
      <c r="M146" s="451">
        <f>(M145-L145)/L145</f>
        <v>0.38974266690660414</v>
      </c>
      <c r="N146" s="451">
        <f>(N145-L145)/L145</f>
        <v>1.1625247435666723</v>
      </c>
      <c r="O146" s="451">
        <f>(O145-L145)/L145</f>
        <v>1.4855137664207305</v>
      </c>
      <c r="P146" s="451">
        <f>(P145-L145)/L145</f>
        <v>1.5049487133345327</v>
      </c>
    </row>
    <row r="147" spans="1:24" x14ac:dyDescent="0.2">
      <c r="P147" s="451">
        <f>(P145-O145)/O145</f>
        <v>7.819287576020819E-3</v>
      </c>
    </row>
    <row r="148" spans="1:24" ht="15" x14ac:dyDescent="0.25">
      <c r="B148" s="122" t="s">
        <v>742</v>
      </c>
      <c r="H148" s="461"/>
      <c r="I148" s="460"/>
      <c r="J148" s="461"/>
      <c r="P148" s="451">
        <f>(P145-N145)/N145</f>
        <v>0.15834453260548473</v>
      </c>
      <c r="T148" s="227"/>
    </row>
    <row r="149" spans="1:24" ht="33.75" customHeight="1" x14ac:dyDescent="0.2">
      <c r="A149" s="492"/>
      <c r="B149" s="132" t="s">
        <v>269</v>
      </c>
      <c r="C149" s="550" t="s">
        <v>267</v>
      </c>
      <c r="D149" s="550" t="s">
        <v>253</v>
      </c>
      <c r="E149" s="550" t="s">
        <v>254</v>
      </c>
      <c r="F149" s="550" t="s">
        <v>255</v>
      </c>
      <c r="G149" s="550" t="s">
        <v>268</v>
      </c>
      <c r="H149" s="132" t="s">
        <v>621</v>
      </c>
      <c r="R149" s="228"/>
      <c r="S149" s="228"/>
      <c r="T149" s="228"/>
      <c r="U149" s="228"/>
      <c r="V149" s="228"/>
    </row>
    <row r="150" spans="1:24" ht="33.75" customHeight="1" x14ac:dyDescent="0.2">
      <c r="B150" s="371" t="s">
        <v>270</v>
      </c>
      <c r="C150" s="372" t="s">
        <v>96</v>
      </c>
      <c r="D150" s="373">
        <v>388.69</v>
      </c>
      <c r="E150" s="373">
        <v>442.25</v>
      </c>
      <c r="F150" s="373">
        <v>492.71</v>
      </c>
      <c r="G150" s="373">
        <v>538.25</v>
      </c>
      <c r="H150" s="374">
        <v>427.94</v>
      </c>
      <c r="R150" s="228"/>
      <c r="S150" s="228"/>
      <c r="T150" s="228"/>
      <c r="U150" s="228"/>
      <c r="V150" s="228"/>
    </row>
    <row r="151" spans="1:24" ht="33.75" customHeight="1" x14ac:dyDescent="0.2">
      <c r="B151" s="371" t="s">
        <v>619</v>
      </c>
      <c r="C151" s="372" t="s">
        <v>96</v>
      </c>
      <c r="D151" s="373">
        <v>352.21</v>
      </c>
      <c r="E151" s="373">
        <v>385.84</v>
      </c>
      <c r="F151" s="373">
        <v>428.07</v>
      </c>
      <c r="G151" s="373">
        <v>502.58</v>
      </c>
      <c r="H151" s="374">
        <v>386.14</v>
      </c>
      <c r="J151" s="561"/>
      <c r="R151" s="228"/>
      <c r="S151" s="229"/>
      <c r="T151" s="229"/>
      <c r="U151" s="228"/>
      <c r="V151" s="228"/>
    </row>
    <row r="152" spans="1:24" ht="18" x14ac:dyDescent="0.25">
      <c r="B152" s="529" t="s">
        <v>620</v>
      </c>
      <c r="C152" s="549"/>
      <c r="D152" s="549"/>
      <c r="E152" s="529"/>
      <c r="F152" s="529"/>
      <c r="G152" s="549"/>
      <c r="H152" s="549"/>
      <c r="T152" s="225"/>
      <c r="U152" s="226"/>
      <c r="V152" s="226"/>
      <c r="W152" s="226"/>
      <c r="X152" s="226"/>
    </row>
    <row r="153" spans="1:24" ht="18" x14ac:dyDescent="0.25">
      <c r="L153" s="199"/>
      <c r="M153" s="199"/>
      <c r="N153" s="199"/>
      <c r="O153" s="199"/>
      <c r="P153" s="199"/>
      <c r="Q153" s="199"/>
      <c r="R153" s="199"/>
      <c r="T153" s="225"/>
      <c r="U153" s="225"/>
      <c r="V153" s="225"/>
      <c r="W153" s="225"/>
      <c r="X153" s="225"/>
    </row>
    <row r="154" spans="1:24" ht="18" x14ac:dyDescent="0.25">
      <c r="B154" s="122" t="s">
        <v>743</v>
      </c>
      <c r="L154" s="199"/>
      <c r="M154" s="199"/>
      <c r="N154" s="199"/>
      <c r="O154" s="199"/>
      <c r="P154" s="199"/>
      <c r="Q154" s="199"/>
      <c r="R154" s="199"/>
      <c r="T154" s="225"/>
      <c r="U154" s="228"/>
      <c r="V154" s="228"/>
      <c r="W154" s="228"/>
      <c r="X154" s="225"/>
    </row>
    <row r="155" spans="1:24" ht="57" customHeight="1" x14ac:dyDescent="0.25">
      <c r="A155" s="492"/>
      <c r="B155" s="132"/>
      <c r="C155" s="132" t="s">
        <v>623</v>
      </c>
      <c r="D155" s="132" t="s">
        <v>622</v>
      </c>
      <c r="E155" s="132" t="s">
        <v>624</v>
      </c>
      <c r="F155" s="132" t="s">
        <v>626</v>
      </c>
      <c r="G155" s="132" t="s">
        <v>627</v>
      </c>
      <c r="H155" s="132" t="s">
        <v>625</v>
      </c>
      <c r="I155" s="132" t="s">
        <v>271</v>
      </c>
      <c r="J155" s="132" t="s">
        <v>272</v>
      </c>
      <c r="K155" s="132" t="s">
        <v>958</v>
      </c>
      <c r="L155" s="132" t="s">
        <v>957</v>
      </c>
      <c r="M155" s="199"/>
      <c r="N155" s="199"/>
      <c r="O155" s="199"/>
      <c r="P155" s="199"/>
      <c r="Q155" s="199"/>
      <c r="R155" s="199"/>
      <c r="T155" s="230"/>
      <c r="U155" s="195"/>
      <c r="V155" s="195"/>
      <c r="W155" s="195"/>
      <c r="X155" s="225"/>
    </row>
    <row r="156" spans="1:24" ht="18" x14ac:dyDescent="0.25">
      <c r="B156" s="358" t="s">
        <v>38</v>
      </c>
      <c r="C156" s="370">
        <f>H145</f>
        <v>277.85000000000002</v>
      </c>
      <c r="D156" s="370">
        <f>H151</f>
        <v>386.14</v>
      </c>
      <c r="E156" s="374">
        <f>H150</f>
        <v>427.94</v>
      </c>
      <c r="F156" s="374">
        <f>H139</f>
        <v>600.85749999999996</v>
      </c>
      <c r="G156" s="152">
        <f>H140</f>
        <v>690.6</v>
      </c>
      <c r="H156" s="133">
        <v>696</v>
      </c>
      <c r="I156" s="172">
        <f>(C156-E156)/C156</f>
        <v>-0.54018355227640802</v>
      </c>
      <c r="J156" s="153">
        <f>(C156-H156)/C156</f>
        <v>-1.5049487133345327</v>
      </c>
      <c r="K156" s="153">
        <f>(F156-H156)/F156</f>
        <v>-0.15834453260548473</v>
      </c>
      <c r="L156" s="513">
        <f>(G156-H156)/G156</f>
        <v>-7.819287576020819E-3</v>
      </c>
      <c r="M156" s="199"/>
      <c r="N156" s="199"/>
      <c r="O156" s="199"/>
      <c r="P156" s="199"/>
      <c r="Q156" s="199"/>
      <c r="R156" s="199"/>
      <c r="T156" s="194"/>
      <c r="U156" s="195"/>
      <c r="V156" s="195"/>
      <c r="W156" s="195"/>
      <c r="X156" s="225"/>
    </row>
    <row r="157" spans="1:24" x14ac:dyDescent="0.2">
      <c r="B157" s="549" t="s">
        <v>1078</v>
      </c>
      <c r="L157" s="199"/>
      <c r="M157" s="199"/>
      <c r="N157" s="199"/>
      <c r="O157" s="199"/>
      <c r="P157" s="199"/>
      <c r="Q157" s="199"/>
      <c r="R157" s="199"/>
    </row>
    <row r="158" spans="1:24" x14ac:dyDescent="0.2">
      <c r="G158" s="79"/>
      <c r="H158" s="79"/>
      <c r="I158" s="385"/>
      <c r="L158" s="199"/>
      <c r="M158" s="199"/>
      <c r="N158" s="199"/>
      <c r="O158" s="199"/>
      <c r="P158" s="199"/>
      <c r="Q158" s="199"/>
      <c r="R158" s="199"/>
    </row>
    <row r="159" spans="1:24" ht="15" x14ac:dyDescent="0.25">
      <c r="G159" s="273"/>
    </row>
    <row r="160" spans="1:24" s="199" customFormat="1" ht="15" x14ac:dyDescent="0.2">
      <c r="B160" s="227" t="s">
        <v>744</v>
      </c>
      <c r="C160" s="625" t="s">
        <v>273</v>
      </c>
      <c r="D160" s="626"/>
      <c r="E160" s="627"/>
      <c r="F160" s="625" t="s">
        <v>274</v>
      </c>
      <c r="G160" s="626"/>
      <c r="H160" s="627"/>
      <c r="I160" s="625" t="s">
        <v>275</v>
      </c>
      <c r="J160" s="626"/>
      <c r="K160" s="627"/>
      <c r="L160" s="72" t="s">
        <v>181</v>
      </c>
    </row>
    <row r="161" spans="1:24" s="199" customFormat="1" ht="28.5" x14ac:dyDescent="0.2">
      <c r="A161" s="562"/>
      <c r="B161" s="232" t="s">
        <v>276</v>
      </c>
      <c r="C161" s="232" t="s">
        <v>241</v>
      </c>
      <c r="D161" s="232" t="s">
        <v>277</v>
      </c>
      <c r="E161" s="232" t="s">
        <v>278</v>
      </c>
      <c r="F161" s="232" t="s">
        <v>241</v>
      </c>
      <c r="G161" s="232" t="s">
        <v>277</v>
      </c>
      <c r="H161" s="232" t="s">
        <v>278</v>
      </c>
      <c r="I161" s="232" t="s">
        <v>241</v>
      </c>
      <c r="J161" s="232" t="s">
        <v>277</v>
      </c>
      <c r="K161" s="232" t="s">
        <v>278</v>
      </c>
    </row>
    <row r="162" spans="1:24" s="199" customFormat="1" x14ac:dyDescent="0.2">
      <c r="B162" s="233" t="s">
        <v>279</v>
      </c>
      <c r="C162" s="234">
        <v>27560</v>
      </c>
      <c r="D162" s="234">
        <v>10920</v>
      </c>
      <c r="E162" s="235">
        <v>62400</v>
      </c>
      <c r="F162" s="234">
        <v>27040</v>
      </c>
      <c r="G162" s="234">
        <v>10920</v>
      </c>
      <c r="H162" s="235">
        <v>64480</v>
      </c>
      <c r="I162" s="236">
        <f t="shared" ref="I162:K168" si="7">(F162-C162)/F162</f>
        <v>-1.9230769230769232E-2</v>
      </c>
      <c r="J162" s="236">
        <f t="shared" si="7"/>
        <v>0</v>
      </c>
      <c r="K162" s="236">
        <f t="shared" si="7"/>
        <v>3.2258064516129031E-2</v>
      </c>
    </row>
    <row r="163" spans="1:24" s="199" customFormat="1" x14ac:dyDescent="0.2">
      <c r="B163" s="233" t="s">
        <v>280</v>
      </c>
      <c r="C163" s="234">
        <v>27040</v>
      </c>
      <c r="D163" s="234">
        <v>10920</v>
      </c>
      <c r="E163" s="235">
        <v>59800</v>
      </c>
      <c r="F163" s="234">
        <v>33800</v>
      </c>
      <c r="G163" s="234">
        <v>14560</v>
      </c>
      <c r="H163" s="235">
        <v>74880</v>
      </c>
      <c r="I163" s="236">
        <f t="shared" si="7"/>
        <v>0.2</v>
      </c>
      <c r="J163" s="236">
        <f t="shared" si="7"/>
        <v>0.25</v>
      </c>
      <c r="K163" s="236">
        <f t="shared" si="7"/>
        <v>0.2013888888888889</v>
      </c>
    </row>
    <row r="164" spans="1:24" s="199" customFormat="1" x14ac:dyDescent="0.2">
      <c r="B164" s="233" t="s">
        <v>281</v>
      </c>
      <c r="C164" s="234">
        <v>31200</v>
      </c>
      <c r="D164" s="234">
        <v>11960</v>
      </c>
      <c r="E164" s="235">
        <v>66040</v>
      </c>
      <c r="F164" s="234">
        <v>30680</v>
      </c>
      <c r="G164" s="234">
        <v>11960</v>
      </c>
      <c r="H164" s="235">
        <v>72280</v>
      </c>
      <c r="I164" s="236">
        <f t="shared" si="7"/>
        <v>-1.6949152542372881E-2</v>
      </c>
      <c r="J164" s="236">
        <f t="shared" si="7"/>
        <v>0</v>
      </c>
      <c r="K164" s="236">
        <f t="shared" si="7"/>
        <v>8.6330935251798566E-2</v>
      </c>
    </row>
    <row r="165" spans="1:24" s="199" customFormat="1" x14ac:dyDescent="0.2">
      <c r="B165" s="233" t="s">
        <v>282</v>
      </c>
      <c r="C165" s="234">
        <v>31720</v>
      </c>
      <c r="D165" s="234">
        <v>11960</v>
      </c>
      <c r="E165" s="235">
        <v>69680</v>
      </c>
      <c r="F165" s="234">
        <v>33280</v>
      </c>
      <c r="G165" s="234">
        <v>13000</v>
      </c>
      <c r="H165" s="235">
        <v>75920</v>
      </c>
      <c r="I165" s="236">
        <f t="shared" si="7"/>
        <v>4.6875E-2</v>
      </c>
      <c r="J165" s="236">
        <f t="shared" si="7"/>
        <v>0.08</v>
      </c>
      <c r="K165" s="236">
        <f t="shared" si="7"/>
        <v>8.2191780821917804E-2</v>
      </c>
    </row>
    <row r="166" spans="1:24" s="199" customFormat="1" x14ac:dyDescent="0.2">
      <c r="B166" s="233" t="s">
        <v>283</v>
      </c>
      <c r="C166" s="234">
        <v>28600</v>
      </c>
      <c r="D166" s="234">
        <v>10920</v>
      </c>
      <c r="E166" s="235">
        <v>63440</v>
      </c>
      <c r="F166" s="234">
        <v>28600</v>
      </c>
      <c r="G166" s="234">
        <v>11440</v>
      </c>
      <c r="H166" s="235">
        <v>68640</v>
      </c>
      <c r="I166" s="236">
        <f t="shared" si="7"/>
        <v>0</v>
      </c>
      <c r="J166" s="236">
        <f t="shared" si="7"/>
        <v>4.5454545454545456E-2</v>
      </c>
      <c r="K166" s="236">
        <f t="shared" si="7"/>
        <v>7.575757575757576E-2</v>
      </c>
    </row>
    <row r="167" spans="1:24" s="199" customFormat="1" x14ac:dyDescent="0.2">
      <c r="B167" s="233" t="s">
        <v>284</v>
      </c>
      <c r="C167" s="234">
        <v>28600</v>
      </c>
      <c r="D167" s="234">
        <v>10920</v>
      </c>
      <c r="E167" s="235">
        <v>61360</v>
      </c>
      <c r="F167" s="234">
        <v>30160</v>
      </c>
      <c r="G167" s="234">
        <v>11960</v>
      </c>
      <c r="H167" s="235">
        <v>71240</v>
      </c>
      <c r="I167" s="236">
        <f t="shared" si="7"/>
        <v>5.1724137931034482E-2</v>
      </c>
      <c r="J167" s="236">
        <f t="shared" si="7"/>
        <v>8.6956521739130432E-2</v>
      </c>
      <c r="K167" s="236">
        <f t="shared" si="7"/>
        <v>0.13868613138686131</v>
      </c>
    </row>
    <row r="168" spans="1:24" s="199" customFormat="1" x14ac:dyDescent="0.2">
      <c r="B168" s="237" t="s">
        <v>38</v>
      </c>
      <c r="C168" s="238">
        <v>30160</v>
      </c>
      <c r="D168" s="238">
        <v>11440</v>
      </c>
      <c r="E168" s="238">
        <v>65520</v>
      </c>
      <c r="F168" s="238">
        <v>30160</v>
      </c>
      <c r="G168" s="238">
        <v>11960</v>
      </c>
      <c r="H168" s="238">
        <v>71240</v>
      </c>
      <c r="I168" s="236">
        <f t="shared" si="7"/>
        <v>0</v>
      </c>
      <c r="J168" s="236">
        <f t="shared" si="7"/>
        <v>4.3478260869565216E-2</v>
      </c>
      <c r="K168" s="236">
        <f t="shared" si="7"/>
        <v>8.0291970802919707E-2</v>
      </c>
      <c r="N168" s="561"/>
    </row>
    <row r="169" spans="1:24" s="199" customFormat="1" x14ac:dyDescent="0.2">
      <c r="B169" s="239" t="s">
        <v>285</v>
      </c>
      <c r="C169" s="240"/>
      <c r="D169" s="240"/>
      <c r="E169" s="240"/>
      <c r="F169" s="240"/>
      <c r="G169" s="240"/>
      <c r="H169" s="241"/>
      <c r="I169" s="241">
        <v>0.02</v>
      </c>
      <c r="J169" s="241">
        <v>0.02</v>
      </c>
      <c r="K169" s="241">
        <v>0.02</v>
      </c>
      <c r="L169" s="241">
        <v>0.02</v>
      </c>
      <c r="M169" s="240"/>
    </row>
    <row r="171" spans="1:24" ht="15" x14ac:dyDescent="0.25">
      <c r="B171" s="122" t="s">
        <v>745</v>
      </c>
      <c r="G171" s="273"/>
    </row>
    <row r="172" spans="1:24" x14ac:dyDescent="0.2">
      <c r="A172" s="492"/>
      <c r="B172" s="232" t="s">
        <v>276</v>
      </c>
      <c r="C172" s="232" t="s">
        <v>286</v>
      </c>
      <c r="D172" s="232" t="s">
        <v>287</v>
      </c>
      <c r="E172" s="232" t="s">
        <v>288</v>
      </c>
      <c r="F172" s="232" t="s">
        <v>289</v>
      </c>
      <c r="G172" s="232" t="s">
        <v>290</v>
      </c>
      <c r="H172" s="232" t="s">
        <v>291</v>
      </c>
      <c r="I172" s="232" t="s">
        <v>292</v>
      </c>
      <c r="J172" s="232" t="s">
        <v>241</v>
      </c>
      <c r="K172" s="561"/>
      <c r="L172" s="240"/>
      <c r="M172" s="240"/>
      <c r="N172" s="240"/>
      <c r="O172" s="240"/>
      <c r="P172" s="240"/>
      <c r="Q172" s="240"/>
      <c r="R172" s="240"/>
      <c r="S172" s="240"/>
      <c r="T172" s="240"/>
      <c r="U172" s="240"/>
      <c r="V172" s="240"/>
    </row>
    <row r="173" spans="1:24" x14ac:dyDescent="0.2">
      <c r="B173" s="69" t="s">
        <v>38</v>
      </c>
      <c r="C173" s="210">
        <v>7697.75</v>
      </c>
      <c r="D173" s="210">
        <v>8746.7999999999993</v>
      </c>
      <c r="E173" s="210">
        <v>7136.71</v>
      </c>
      <c r="F173" s="210">
        <v>5561.2099999999991</v>
      </c>
      <c r="G173" s="210">
        <v>5812.55</v>
      </c>
      <c r="H173" s="210">
        <v>7875.9000000000005</v>
      </c>
      <c r="I173" s="242">
        <v>38801.074688893561</v>
      </c>
      <c r="J173" s="243">
        <v>31846.883571416089</v>
      </c>
      <c r="K173" s="240"/>
      <c r="L173" s="240"/>
      <c r="M173" s="240"/>
      <c r="N173" s="240"/>
      <c r="O173" s="240"/>
      <c r="P173" s="240"/>
      <c r="Q173" s="240"/>
      <c r="R173" s="240"/>
      <c r="S173" s="240"/>
      <c r="T173" s="240"/>
      <c r="U173" s="240"/>
      <c r="V173" s="240"/>
    </row>
    <row r="174" spans="1:24" ht="28.5" x14ac:dyDescent="0.2">
      <c r="B174" s="232" t="s">
        <v>293</v>
      </c>
      <c r="C174" s="232" t="s">
        <v>294</v>
      </c>
      <c r="D174" s="232" t="s">
        <v>295</v>
      </c>
      <c r="E174" s="232" t="s">
        <v>296</v>
      </c>
      <c r="F174" s="232" t="s">
        <v>297</v>
      </c>
      <c r="G174" s="232" t="s">
        <v>298</v>
      </c>
      <c r="H174" s="232" t="s">
        <v>299</v>
      </c>
      <c r="I174" s="232" t="s">
        <v>300</v>
      </c>
      <c r="J174" s="232" t="s">
        <v>301</v>
      </c>
      <c r="K174" s="232" t="s">
        <v>302</v>
      </c>
      <c r="L174" s="232" t="s">
        <v>303</v>
      </c>
      <c r="M174" s="232" t="s">
        <v>304</v>
      </c>
      <c r="N174" s="232" t="s">
        <v>305</v>
      </c>
      <c r="O174" s="232" t="s">
        <v>306</v>
      </c>
      <c r="P174" s="232" t="s">
        <v>307</v>
      </c>
      <c r="Q174" s="232" t="s">
        <v>308</v>
      </c>
      <c r="R174" s="232" t="s">
        <v>309</v>
      </c>
      <c r="S174" s="232" t="s">
        <v>310</v>
      </c>
      <c r="T174" s="232" t="s">
        <v>311</v>
      </c>
      <c r="U174" s="232" t="s">
        <v>312</v>
      </c>
      <c r="V174" s="232" t="s">
        <v>313</v>
      </c>
    </row>
    <row r="175" spans="1:24" x14ac:dyDescent="0.2">
      <c r="B175" s="69" t="s">
        <v>314</v>
      </c>
      <c r="C175" s="210">
        <v>630.82000000000005</v>
      </c>
      <c r="D175" s="210">
        <v>2909.74</v>
      </c>
      <c r="E175" s="210">
        <v>4157.1899999999996</v>
      </c>
      <c r="F175" s="210">
        <v>4567.45</v>
      </c>
      <c r="G175" s="210">
        <v>4179.3500000000004</v>
      </c>
      <c r="H175" s="210">
        <v>3702.33</v>
      </c>
      <c r="I175" s="210">
        <v>3434.38</v>
      </c>
      <c r="J175" s="210">
        <v>2930.72</v>
      </c>
      <c r="K175" s="210">
        <v>2630.49</v>
      </c>
      <c r="L175" s="210">
        <v>2306.71</v>
      </c>
      <c r="M175" s="210">
        <v>1898.64</v>
      </c>
      <c r="N175" s="210">
        <v>1607.2</v>
      </c>
      <c r="O175" s="210">
        <v>1387.95</v>
      </c>
      <c r="P175" s="210">
        <v>1033.9000000000001</v>
      </c>
      <c r="Q175" s="210">
        <v>903.19</v>
      </c>
      <c r="R175" s="210">
        <v>667.99</v>
      </c>
      <c r="S175" s="210">
        <v>855.63</v>
      </c>
      <c r="T175" s="210">
        <v>691.35</v>
      </c>
      <c r="U175" s="210">
        <v>406.32</v>
      </c>
      <c r="V175" s="244">
        <v>1929.57</v>
      </c>
    </row>
    <row r="176" spans="1:24" x14ac:dyDescent="0.2">
      <c r="B176" s="239" t="s">
        <v>315</v>
      </c>
      <c r="C176" s="240"/>
      <c r="D176" s="240"/>
      <c r="E176" s="240"/>
      <c r="F176" s="240"/>
      <c r="G176" s="240"/>
      <c r="H176" s="245"/>
      <c r="I176" s="240"/>
      <c r="J176" s="240"/>
      <c r="K176" s="240"/>
      <c r="L176" s="240"/>
      <c r="M176" s="240"/>
      <c r="N176" s="240"/>
      <c r="O176" s="240"/>
      <c r="P176" s="240"/>
      <c r="Q176" s="240"/>
      <c r="R176" s="240"/>
      <c r="S176" s="240"/>
      <c r="T176" s="240"/>
      <c r="U176" s="240"/>
      <c r="V176" s="240"/>
      <c r="W176" s="240"/>
      <c r="X176" s="240"/>
    </row>
    <row r="177" spans="1:24" x14ac:dyDescent="0.2">
      <c r="B177" s="239"/>
      <c r="C177" s="240"/>
      <c r="D177" s="240"/>
      <c r="E177" s="240"/>
      <c r="F177" s="240"/>
      <c r="G177" s="240"/>
      <c r="H177" s="245"/>
      <c r="I177" s="240"/>
      <c r="J177" s="240"/>
      <c r="K177" s="240"/>
      <c r="L177" s="240"/>
      <c r="M177" s="240"/>
      <c r="N177" s="240"/>
      <c r="O177" s="240"/>
      <c r="P177" s="240"/>
      <c r="Q177" s="240"/>
      <c r="R177" s="240"/>
      <c r="S177" s="240"/>
      <c r="T177" s="240"/>
      <c r="U177" s="240"/>
      <c r="V177" s="240"/>
      <c r="W177" s="240"/>
      <c r="X177" s="240"/>
    </row>
    <row r="178" spans="1:24" ht="15" x14ac:dyDescent="0.2">
      <c r="B178" s="246" t="s">
        <v>746</v>
      </c>
      <c r="C178" s="240"/>
      <c r="D178" s="240"/>
      <c r="E178" s="240"/>
      <c r="F178" s="240"/>
      <c r="G178" s="240"/>
      <c r="H178" s="240"/>
      <c r="I178" s="240"/>
      <c r="J178" s="240"/>
      <c r="K178" s="240"/>
      <c r="L178" s="240"/>
      <c r="M178" s="240"/>
      <c r="N178" s="240"/>
      <c r="O178" s="240"/>
      <c r="P178" s="240"/>
      <c r="Q178" s="240"/>
      <c r="R178" s="240"/>
      <c r="S178" s="240"/>
      <c r="T178" s="240"/>
      <c r="U178" s="240"/>
      <c r="V178" s="240"/>
      <c r="W178" s="240"/>
      <c r="X178" s="240"/>
    </row>
    <row r="179" spans="1:24" ht="42.75" x14ac:dyDescent="0.2">
      <c r="A179" s="563"/>
      <c r="B179" s="247"/>
      <c r="C179" s="232" t="s">
        <v>316</v>
      </c>
      <c r="D179" s="232" t="s">
        <v>317</v>
      </c>
      <c r="E179" s="232" t="s">
        <v>318</v>
      </c>
      <c r="F179" s="232" t="s">
        <v>319</v>
      </c>
      <c r="I179" s="241"/>
      <c r="J179" s="241"/>
      <c r="K179" s="240"/>
      <c r="L179" s="240"/>
      <c r="M179" s="240"/>
      <c r="N179" s="240"/>
      <c r="O179" s="240"/>
      <c r="P179" s="240"/>
      <c r="Q179" s="240"/>
      <c r="R179" s="240"/>
      <c r="S179" s="240"/>
      <c r="T179" s="240"/>
      <c r="U179" s="240"/>
      <c r="V179" s="240"/>
      <c r="W179" s="240"/>
      <c r="X179" s="240"/>
    </row>
    <row r="180" spans="1:24" x14ac:dyDescent="0.2">
      <c r="B180" s="248" t="s">
        <v>38</v>
      </c>
      <c r="C180" s="249">
        <v>30160</v>
      </c>
      <c r="D180" s="249">
        <v>30160</v>
      </c>
      <c r="E180" s="250">
        <f>D180-C180</f>
        <v>0</v>
      </c>
      <c r="F180" s="251">
        <v>0</v>
      </c>
      <c r="I180" s="327"/>
      <c r="J180" s="241"/>
      <c r="K180" s="240"/>
      <c r="L180" s="240"/>
      <c r="M180" s="240"/>
      <c r="N180" s="240"/>
      <c r="O180" s="240"/>
      <c r="P180" s="240"/>
      <c r="Q180" s="240"/>
      <c r="R180" s="240"/>
      <c r="S180" s="240"/>
      <c r="T180" s="240"/>
      <c r="U180" s="240"/>
      <c r="V180" s="240"/>
      <c r="W180" s="240"/>
      <c r="X180" s="240"/>
    </row>
    <row r="181" spans="1:24" x14ac:dyDescent="0.2">
      <c r="B181" s="248" t="s">
        <v>41</v>
      </c>
      <c r="C181" s="249">
        <v>28600</v>
      </c>
      <c r="D181" s="249">
        <v>28600</v>
      </c>
      <c r="E181" s="250">
        <f>D181-C181</f>
        <v>0</v>
      </c>
      <c r="F181" s="251">
        <v>0</v>
      </c>
      <c r="I181" s="327"/>
      <c r="J181" s="241"/>
      <c r="K181" s="240"/>
      <c r="L181" s="240"/>
      <c r="M181" s="240"/>
      <c r="N181" s="240"/>
      <c r="O181" s="240"/>
      <c r="P181" s="240"/>
      <c r="Q181" s="240"/>
      <c r="R181" s="240"/>
      <c r="S181" s="240"/>
      <c r="T181" s="240"/>
      <c r="U181" s="240"/>
      <c r="V181" s="240"/>
      <c r="W181" s="240"/>
      <c r="X181" s="240"/>
    </row>
    <row r="182" spans="1:24" ht="15" x14ac:dyDescent="0.2">
      <c r="B182" s="246" t="s">
        <v>320</v>
      </c>
      <c r="C182" s="240"/>
      <c r="D182" s="240"/>
      <c r="E182" s="240"/>
      <c r="F182" s="240"/>
      <c r="G182" s="240"/>
      <c r="H182" s="240"/>
      <c r="I182" s="241"/>
      <c r="J182" s="241"/>
      <c r="K182" s="240"/>
      <c r="L182" s="240"/>
      <c r="M182" s="240"/>
      <c r="N182" s="240"/>
      <c r="O182" s="240"/>
      <c r="P182" s="240"/>
      <c r="Q182" s="240"/>
      <c r="R182" s="240"/>
      <c r="S182" s="240"/>
      <c r="T182" s="240"/>
      <c r="U182" s="240"/>
      <c r="V182" s="240"/>
      <c r="W182" s="240"/>
      <c r="X182" s="240"/>
    </row>
    <row r="183" spans="1:24" ht="15" x14ac:dyDescent="0.2">
      <c r="B183" s="246"/>
      <c r="C183" s="240"/>
      <c r="D183" s="240"/>
      <c r="E183" s="240"/>
      <c r="F183" s="240"/>
      <c r="G183" s="240"/>
      <c r="H183" s="240"/>
      <c r="I183" s="241"/>
      <c r="J183" s="241"/>
      <c r="K183" s="240"/>
      <c r="L183" s="240"/>
      <c r="M183" s="240"/>
      <c r="N183" s="240"/>
      <c r="O183" s="240"/>
      <c r="P183" s="240"/>
      <c r="Q183" s="240"/>
      <c r="R183" s="240"/>
      <c r="S183" s="240"/>
      <c r="T183" s="240"/>
      <c r="U183" s="240"/>
      <c r="V183" s="240"/>
      <c r="W183" s="240"/>
      <c r="X183" s="240"/>
    </row>
    <row r="184" spans="1:24" ht="15" x14ac:dyDescent="0.2">
      <c r="B184" s="246" t="s">
        <v>1099</v>
      </c>
      <c r="C184" s="240"/>
      <c r="D184" s="240"/>
      <c r="E184" s="240"/>
      <c r="F184" s="240"/>
      <c r="G184" s="240"/>
      <c r="H184" s="240"/>
      <c r="I184" s="240"/>
      <c r="J184" s="240"/>
      <c r="K184" s="240"/>
      <c r="L184" s="240"/>
      <c r="M184" s="240"/>
      <c r="N184" s="240"/>
      <c r="O184" s="240"/>
      <c r="P184" s="240"/>
      <c r="Q184" s="240"/>
      <c r="R184" s="240"/>
      <c r="S184" s="240"/>
      <c r="T184" s="240"/>
      <c r="U184" s="240"/>
      <c r="V184" s="240"/>
      <c r="W184" s="240"/>
      <c r="X184" s="240"/>
    </row>
    <row r="185" spans="1:24" ht="30" x14ac:dyDescent="0.25">
      <c r="B185" s="575"/>
      <c r="C185" s="564" t="s">
        <v>38</v>
      </c>
      <c r="D185" s="564" t="s">
        <v>1088</v>
      </c>
      <c r="E185" s="564" t="s">
        <v>910</v>
      </c>
      <c r="F185" s="564" t="s">
        <v>1089</v>
      </c>
      <c r="G185" s="564" t="s">
        <v>1090</v>
      </c>
      <c r="H185" s="564" t="s">
        <v>1091</v>
      </c>
      <c r="I185" s="564" t="s">
        <v>1092</v>
      </c>
      <c r="J185" s="566"/>
      <c r="K185" s="240"/>
      <c r="L185" s="240"/>
      <c r="M185" s="240"/>
      <c r="N185" s="240"/>
      <c r="O185" s="240"/>
      <c r="P185" s="240"/>
      <c r="Q185" s="240"/>
      <c r="R185" s="240"/>
      <c r="S185" s="240"/>
      <c r="T185" s="240"/>
      <c r="U185" s="240"/>
      <c r="V185" s="240"/>
      <c r="W185" s="240"/>
      <c r="X185" s="240"/>
    </row>
    <row r="186" spans="1:24" ht="15" x14ac:dyDescent="0.25">
      <c r="B186" s="570" t="s">
        <v>1093</v>
      </c>
      <c r="C186" s="572">
        <v>18200</v>
      </c>
      <c r="D186" s="572">
        <v>16640</v>
      </c>
      <c r="E186" s="572">
        <v>16120</v>
      </c>
      <c r="F186" s="572">
        <v>18720</v>
      </c>
      <c r="G186" s="572">
        <v>18720</v>
      </c>
      <c r="H186" s="572">
        <v>17160</v>
      </c>
      <c r="I186" s="572">
        <v>17680</v>
      </c>
      <c r="J186" s="566"/>
      <c r="K186" s="240"/>
      <c r="L186" s="240"/>
      <c r="M186" s="240"/>
      <c r="N186" s="240"/>
      <c r="O186" s="240"/>
      <c r="P186" s="240"/>
      <c r="Q186" s="240"/>
      <c r="R186" s="240"/>
      <c r="S186" s="240"/>
      <c r="T186" s="240"/>
      <c r="U186" s="240"/>
      <c r="V186" s="240"/>
      <c r="W186" s="240"/>
      <c r="X186" s="240"/>
    </row>
    <row r="187" spans="1:24" ht="15" x14ac:dyDescent="0.25">
      <c r="B187" s="570" t="s">
        <v>1094</v>
      </c>
      <c r="C187" s="572">
        <v>18200</v>
      </c>
      <c r="D187" s="572">
        <v>16640</v>
      </c>
      <c r="E187" s="572">
        <v>20280</v>
      </c>
      <c r="F187" s="572">
        <v>18200</v>
      </c>
      <c r="G187" s="572">
        <v>19760</v>
      </c>
      <c r="H187" s="572">
        <v>17160</v>
      </c>
      <c r="I187" s="572">
        <v>18200</v>
      </c>
      <c r="J187" s="566"/>
      <c r="K187" s="240"/>
      <c r="L187" s="240"/>
      <c r="M187" s="240"/>
      <c r="N187" s="240"/>
      <c r="O187" s="240"/>
      <c r="P187" s="240"/>
      <c r="Q187" s="240"/>
      <c r="R187" s="240"/>
      <c r="S187" s="240"/>
      <c r="T187" s="240"/>
      <c r="U187" s="240"/>
      <c r="V187" s="240"/>
      <c r="W187" s="240"/>
      <c r="X187" s="240"/>
    </row>
    <row r="188" spans="1:24" ht="15" x14ac:dyDescent="0.25">
      <c r="B188" s="575"/>
      <c r="C188" s="576">
        <v>0</v>
      </c>
      <c r="D188" s="576">
        <v>0</v>
      </c>
      <c r="E188" s="576">
        <v>0.25806451612903225</v>
      </c>
      <c r="F188" s="576">
        <v>-2.7777777777777776E-2</v>
      </c>
      <c r="G188" s="576">
        <v>5.5555555555555552E-2</v>
      </c>
      <c r="H188" s="576">
        <v>0</v>
      </c>
      <c r="I188" s="576">
        <v>2.9411764705882353E-2</v>
      </c>
      <c r="J188" s="566"/>
      <c r="K188" s="240"/>
      <c r="L188" s="240"/>
      <c r="M188" s="240"/>
      <c r="N188" s="240"/>
      <c r="O188" s="240"/>
      <c r="P188" s="240"/>
      <c r="Q188" s="240"/>
      <c r="R188" s="240"/>
      <c r="S188" s="240"/>
      <c r="T188" s="240"/>
      <c r="U188" s="240"/>
      <c r="V188" s="240"/>
      <c r="W188" s="240"/>
      <c r="X188" s="240"/>
    </row>
    <row r="189" spans="1:24" ht="15" x14ac:dyDescent="0.25">
      <c r="B189" s="246" t="s">
        <v>320</v>
      </c>
      <c r="C189" s="580"/>
      <c r="D189" s="580"/>
      <c r="E189" s="580"/>
      <c r="F189" s="580"/>
      <c r="G189" s="580"/>
      <c r="H189" s="580"/>
      <c r="I189" s="580"/>
      <c r="J189" s="566"/>
      <c r="K189" s="240"/>
      <c r="L189" s="240"/>
      <c r="M189" s="240"/>
      <c r="N189" s="240"/>
      <c r="O189" s="240"/>
      <c r="P189" s="240"/>
      <c r="Q189" s="240"/>
      <c r="R189" s="240"/>
      <c r="S189" s="240"/>
      <c r="T189" s="240"/>
      <c r="U189" s="240"/>
      <c r="V189" s="240"/>
      <c r="W189" s="240"/>
      <c r="X189" s="240"/>
    </row>
    <row r="190" spans="1:24" ht="15" x14ac:dyDescent="0.25">
      <c r="B190" s="246"/>
      <c r="C190" s="580"/>
      <c r="D190" s="580"/>
      <c r="E190" s="580"/>
      <c r="F190" s="580"/>
      <c r="G190" s="580"/>
      <c r="H190" s="580"/>
      <c r="I190" s="580"/>
      <c r="J190" s="566"/>
      <c r="K190" s="240"/>
      <c r="L190" s="240"/>
      <c r="M190" s="240"/>
      <c r="N190" s="240"/>
      <c r="O190" s="240"/>
      <c r="P190" s="240"/>
      <c r="Q190" s="240"/>
      <c r="R190" s="240"/>
      <c r="S190" s="240"/>
      <c r="T190" s="240"/>
      <c r="U190" s="240"/>
      <c r="V190" s="240"/>
      <c r="W190" s="240"/>
      <c r="X190" s="240"/>
    </row>
    <row r="191" spans="1:24" ht="15" x14ac:dyDescent="0.25">
      <c r="B191" s="246" t="s">
        <v>1100</v>
      </c>
      <c r="C191" s="575"/>
      <c r="D191" s="575"/>
      <c r="E191" s="575"/>
      <c r="F191" s="575"/>
      <c r="G191" s="575"/>
      <c r="H191" s="575"/>
      <c r="I191" s="575"/>
      <c r="J191" s="566"/>
      <c r="K191" s="240"/>
      <c r="L191" s="240"/>
      <c r="M191" s="240"/>
      <c r="N191" s="240"/>
      <c r="O191" s="240"/>
      <c r="P191" s="240"/>
      <c r="Q191" s="240"/>
      <c r="R191" s="240"/>
      <c r="S191" s="240"/>
      <c r="T191" s="240"/>
      <c r="U191" s="240"/>
      <c r="V191" s="240"/>
      <c r="W191" s="240"/>
      <c r="X191" s="240"/>
    </row>
    <row r="192" spans="1:24" ht="15" x14ac:dyDescent="0.25">
      <c r="B192" s="575"/>
      <c r="C192" s="577" t="s">
        <v>38</v>
      </c>
      <c r="D192" s="575"/>
      <c r="E192" s="575"/>
      <c r="F192" s="575"/>
      <c r="G192" s="575"/>
      <c r="H192" s="575"/>
      <c r="I192" s="575"/>
      <c r="J192" s="566"/>
      <c r="K192" s="240"/>
      <c r="L192" s="240"/>
      <c r="M192" s="240"/>
      <c r="N192" s="240"/>
      <c r="O192" s="240"/>
      <c r="P192" s="240"/>
      <c r="Q192" s="240"/>
      <c r="R192" s="240"/>
      <c r="S192" s="240"/>
      <c r="T192" s="240"/>
      <c r="U192" s="240"/>
      <c r="V192" s="240"/>
      <c r="W192" s="240"/>
      <c r="X192" s="240"/>
    </row>
    <row r="193" spans="1:24" ht="15" x14ac:dyDescent="0.25">
      <c r="B193" s="570" t="s">
        <v>1095</v>
      </c>
      <c r="C193" s="572">
        <v>18200</v>
      </c>
      <c r="D193" s="575"/>
      <c r="E193" s="575"/>
      <c r="F193" s="575"/>
      <c r="G193" s="575"/>
      <c r="H193" s="575"/>
      <c r="I193" s="575"/>
      <c r="J193" s="575"/>
      <c r="K193" s="240"/>
      <c r="L193" s="240"/>
      <c r="M193" s="240"/>
      <c r="N193" s="240"/>
      <c r="O193" s="240"/>
      <c r="P193" s="240"/>
      <c r="Q193" s="240"/>
      <c r="R193" s="240"/>
      <c r="S193" s="240"/>
      <c r="T193" s="240"/>
      <c r="U193" s="240"/>
      <c r="V193" s="240"/>
      <c r="W193" s="240"/>
      <c r="X193" s="240"/>
    </row>
    <row r="194" spans="1:24" ht="15" x14ac:dyDescent="0.25">
      <c r="B194" s="570" t="s">
        <v>1096</v>
      </c>
      <c r="C194" s="572">
        <v>18200</v>
      </c>
      <c r="D194" s="575"/>
      <c r="E194" s="575"/>
      <c r="F194" s="575"/>
      <c r="G194" s="575"/>
      <c r="H194" s="575"/>
      <c r="I194" s="575"/>
      <c r="J194" s="575"/>
      <c r="K194" s="240"/>
      <c r="L194" s="240"/>
      <c r="M194" s="240"/>
      <c r="N194" s="240"/>
      <c r="O194" s="240"/>
      <c r="P194" s="240"/>
      <c r="Q194" s="240"/>
      <c r="R194" s="240"/>
      <c r="S194" s="240"/>
      <c r="T194" s="240"/>
      <c r="U194" s="240"/>
      <c r="V194" s="240"/>
      <c r="W194" s="240"/>
      <c r="X194" s="240"/>
    </row>
    <row r="195" spans="1:24" ht="15" x14ac:dyDescent="0.25">
      <c r="B195" s="570" t="s">
        <v>1097</v>
      </c>
      <c r="C195" s="578">
        <v>18295.033333698237</v>
      </c>
      <c r="D195" s="575"/>
      <c r="E195" s="575"/>
      <c r="F195" s="575"/>
      <c r="G195" s="575"/>
      <c r="H195" s="575"/>
      <c r="I195" s="575"/>
      <c r="J195" s="575"/>
      <c r="K195" s="240"/>
      <c r="L195" s="240"/>
      <c r="M195" s="240"/>
      <c r="N195" s="240"/>
      <c r="O195" s="240"/>
      <c r="P195" s="240"/>
      <c r="Q195" s="240"/>
      <c r="R195" s="240"/>
      <c r="S195" s="240"/>
      <c r="T195" s="240"/>
      <c r="U195" s="240"/>
      <c r="V195" s="240"/>
      <c r="W195" s="240"/>
      <c r="X195" s="240"/>
    </row>
    <row r="196" spans="1:24" ht="15" x14ac:dyDescent="0.25">
      <c r="B196" s="570" t="s">
        <v>1098</v>
      </c>
      <c r="C196" s="579">
        <v>5.2216117416613557E-3</v>
      </c>
      <c r="D196" s="575"/>
      <c r="E196" s="575"/>
      <c r="F196" s="575"/>
      <c r="G196" s="575"/>
      <c r="H196" s="575"/>
      <c r="I196" s="575"/>
      <c r="J196" s="566"/>
      <c r="K196" s="240"/>
      <c r="L196" s="240"/>
      <c r="M196" s="240"/>
      <c r="N196" s="240"/>
      <c r="O196" s="240"/>
      <c r="P196" s="240"/>
      <c r="Q196" s="240"/>
      <c r="R196" s="240"/>
      <c r="S196" s="240"/>
      <c r="T196" s="240"/>
      <c r="U196" s="240"/>
      <c r="V196" s="240"/>
      <c r="W196" s="240"/>
      <c r="X196" s="240"/>
    </row>
    <row r="197" spans="1:24" ht="15" x14ac:dyDescent="0.25">
      <c r="B197" s="246" t="s">
        <v>1101</v>
      </c>
      <c r="C197" s="581"/>
      <c r="D197" s="575"/>
      <c r="E197" s="575"/>
      <c r="F197" s="575"/>
      <c r="G197" s="575"/>
      <c r="H197" s="575"/>
      <c r="I197" s="575"/>
      <c r="J197" s="566"/>
      <c r="K197" s="240"/>
      <c r="L197" s="240"/>
      <c r="M197" s="240"/>
      <c r="N197" s="240"/>
      <c r="O197" s="240"/>
      <c r="P197" s="240"/>
      <c r="Q197" s="240"/>
      <c r="R197" s="240"/>
      <c r="S197" s="240"/>
      <c r="T197" s="240"/>
      <c r="U197" s="240"/>
      <c r="V197" s="240"/>
      <c r="W197" s="240"/>
      <c r="X197" s="240"/>
    </row>
    <row r="198" spans="1:24" x14ac:dyDescent="0.2">
      <c r="B198" s="252"/>
      <c r="C198" s="240"/>
      <c r="D198" s="240"/>
      <c r="E198" s="240"/>
      <c r="F198" s="240"/>
      <c r="G198" s="240"/>
      <c r="H198" s="240"/>
      <c r="I198" s="240"/>
      <c r="J198" s="240"/>
      <c r="K198" s="240"/>
      <c r="L198" s="240"/>
      <c r="M198" s="240"/>
      <c r="N198" s="240"/>
      <c r="O198" s="240"/>
      <c r="P198" s="240"/>
      <c r="Q198" s="240"/>
      <c r="R198" s="240"/>
      <c r="S198" s="240"/>
      <c r="T198" s="240"/>
      <c r="U198" s="240"/>
      <c r="V198" s="240"/>
      <c r="W198" s="240"/>
      <c r="X198" s="240"/>
    </row>
    <row r="199" spans="1:24" ht="15" x14ac:dyDescent="0.2">
      <c r="B199" s="253" t="s">
        <v>1102</v>
      </c>
      <c r="C199" s="254"/>
      <c r="D199" s="254"/>
      <c r="E199" s="628" t="s">
        <v>321</v>
      </c>
      <c r="F199" s="629"/>
      <c r="G199" s="630"/>
      <c r="H199" s="628" t="s">
        <v>134</v>
      </c>
      <c r="I199" s="629"/>
      <c r="J199" s="630"/>
      <c r="M199" s="240"/>
      <c r="N199" s="240"/>
      <c r="O199" s="240"/>
      <c r="P199" s="240"/>
      <c r="Q199" s="240"/>
      <c r="R199" s="240"/>
      <c r="S199" s="240"/>
      <c r="T199" s="240"/>
      <c r="U199" s="240"/>
      <c r="V199" s="240"/>
      <c r="W199" s="240"/>
      <c r="X199" s="240"/>
    </row>
    <row r="200" spans="1:24" ht="42.75" x14ac:dyDescent="0.2">
      <c r="A200" s="492"/>
      <c r="B200" s="255" t="s">
        <v>322</v>
      </c>
      <c r="C200" s="256" t="s">
        <v>323</v>
      </c>
      <c r="D200" s="256" t="s">
        <v>324</v>
      </c>
      <c r="E200" s="256" t="s">
        <v>325</v>
      </c>
      <c r="F200" s="256" t="s">
        <v>326</v>
      </c>
      <c r="G200" s="256" t="s">
        <v>327</v>
      </c>
      <c r="H200" s="257" t="s">
        <v>328</v>
      </c>
      <c r="I200" s="257" t="s">
        <v>329</v>
      </c>
      <c r="J200" s="257" t="s">
        <v>330</v>
      </c>
      <c r="M200" s="241"/>
      <c r="N200" s="240"/>
      <c r="O200" s="240"/>
      <c r="P200" s="240"/>
      <c r="Q200" s="240"/>
      <c r="R200" s="240"/>
      <c r="S200" s="240"/>
      <c r="T200" s="240"/>
      <c r="U200" s="240"/>
      <c r="V200" s="240"/>
      <c r="W200" s="240"/>
      <c r="X200" s="240"/>
    </row>
    <row r="201" spans="1:24" x14ac:dyDescent="0.2">
      <c r="B201" s="258" t="s">
        <v>38</v>
      </c>
      <c r="C201" s="259">
        <v>25800</v>
      </c>
      <c r="D201" s="260">
        <f>(C202-C201)/C202</f>
        <v>0.1134020618556701</v>
      </c>
      <c r="E201" s="261">
        <v>29600</v>
      </c>
      <c r="F201" s="261">
        <v>17600</v>
      </c>
      <c r="G201" s="261" t="s">
        <v>331</v>
      </c>
      <c r="H201" s="261">
        <v>18600</v>
      </c>
      <c r="I201" s="261">
        <v>36000</v>
      </c>
      <c r="J201" s="261">
        <v>28700</v>
      </c>
      <c r="M201" s="262">
        <f>E201-F201</f>
        <v>12000</v>
      </c>
      <c r="N201" s="240"/>
      <c r="O201" s="240"/>
      <c r="P201" s="240"/>
      <c r="Q201" s="240"/>
      <c r="R201" s="240"/>
      <c r="S201" s="240"/>
      <c r="T201" s="240"/>
      <c r="U201" s="240"/>
      <c r="V201" s="240"/>
      <c r="W201" s="240"/>
      <c r="X201" s="240"/>
    </row>
    <row r="202" spans="1:24" ht="15" x14ac:dyDescent="0.25">
      <c r="B202" s="263" t="s">
        <v>41</v>
      </c>
      <c r="C202" s="259">
        <v>29100</v>
      </c>
      <c r="D202" s="264" t="s">
        <v>96</v>
      </c>
      <c r="E202" s="261">
        <v>34000</v>
      </c>
      <c r="F202" s="261">
        <v>18800</v>
      </c>
      <c r="G202" s="261">
        <v>25700</v>
      </c>
      <c r="H202" s="261">
        <v>21600</v>
      </c>
      <c r="I202" s="261">
        <v>39400</v>
      </c>
      <c r="J202" s="261">
        <v>29000</v>
      </c>
      <c r="M202" s="241"/>
      <c r="N202" s="240"/>
      <c r="O202" s="240"/>
      <c r="P202" s="240"/>
      <c r="Q202" s="240"/>
      <c r="R202" s="240"/>
      <c r="S202" s="240"/>
      <c r="T202" s="240"/>
      <c r="U202" s="240"/>
      <c r="V202" s="240"/>
      <c r="W202" s="240"/>
      <c r="X202" s="240"/>
    </row>
    <row r="203" spans="1:24" x14ac:dyDescent="0.2">
      <c r="B203" s="252" t="s">
        <v>332</v>
      </c>
      <c r="C203" s="240"/>
      <c r="D203" s="240"/>
      <c r="E203" s="240"/>
      <c r="F203" s="240"/>
      <c r="G203" s="240"/>
      <c r="H203" s="240"/>
      <c r="I203" s="240"/>
      <c r="J203" s="240"/>
      <c r="K203" s="240"/>
      <c r="L203" s="240"/>
      <c r="M203" s="241"/>
      <c r="N203" s="240"/>
      <c r="O203" s="240"/>
      <c r="P203" s="240"/>
      <c r="Q203" s="240"/>
      <c r="R203" s="240"/>
      <c r="S203" s="240"/>
      <c r="T203" s="240"/>
      <c r="U203" s="240"/>
      <c r="V203" s="240"/>
      <c r="W203" s="240"/>
      <c r="X203" s="240"/>
    </row>
    <row r="204" spans="1:24" x14ac:dyDescent="0.2">
      <c r="B204" s="239"/>
      <c r="C204" s="240"/>
      <c r="D204" s="240"/>
      <c r="E204" s="240"/>
      <c r="F204" s="240"/>
      <c r="G204" s="240"/>
      <c r="H204" s="245"/>
      <c r="I204" s="240"/>
      <c r="J204" s="240"/>
      <c r="K204" s="240"/>
      <c r="L204" s="240"/>
      <c r="M204" s="240"/>
      <c r="N204" s="240"/>
      <c r="O204" s="240"/>
      <c r="P204" s="240"/>
      <c r="Q204" s="240"/>
      <c r="R204" s="240"/>
      <c r="S204" s="240"/>
      <c r="T204" s="240"/>
      <c r="U204" s="240"/>
      <c r="V204" s="240"/>
      <c r="W204" s="240"/>
      <c r="X204" s="240"/>
    </row>
    <row r="205" spans="1:24" ht="15" x14ac:dyDescent="0.25">
      <c r="B205" s="122"/>
      <c r="G205" s="273"/>
    </row>
    <row r="206" spans="1:24" ht="15" x14ac:dyDescent="0.2">
      <c r="B206" s="227" t="s">
        <v>747</v>
      </c>
    </row>
    <row r="207" spans="1:24" ht="30" x14ac:dyDescent="0.2">
      <c r="A207" s="492"/>
      <c r="B207" s="397" t="s">
        <v>276</v>
      </c>
      <c r="C207" s="397" t="s">
        <v>982</v>
      </c>
      <c r="D207" s="397" t="s">
        <v>983</v>
      </c>
      <c r="E207" s="397" t="s">
        <v>985</v>
      </c>
      <c r="F207" s="397" t="s">
        <v>984</v>
      </c>
      <c r="G207" s="397" t="s">
        <v>638</v>
      </c>
      <c r="H207" s="397" t="s">
        <v>639</v>
      </c>
    </row>
    <row r="208" spans="1:24" x14ac:dyDescent="0.2">
      <c r="B208" s="358" t="s">
        <v>38</v>
      </c>
      <c r="C208" s="182">
        <v>0.15</v>
      </c>
      <c r="D208" s="182">
        <v>0.26</v>
      </c>
      <c r="E208" s="182">
        <v>0.32</v>
      </c>
      <c r="F208" s="474">
        <v>0.51</v>
      </c>
      <c r="G208" s="474">
        <v>0.42</v>
      </c>
      <c r="H208" s="474">
        <v>0.6</v>
      </c>
    </row>
    <row r="209" spans="1:8" x14ac:dyDescent="0.2">
      <c r="B209" s="549" t="s">
        <v>334</v>
      </c>
    </row>
    <row r="211" spans="1:8" ht="15" x14ac:dyDescent="0.2">
      <c r="B211" s="227" t="s">
        <v>748</v>
      </c>
    </row>
    <row r="212" spans="1:8" ht="30" x14ac:dyDescent="0.2">
      <c r="A212" s="492"/>
      <c r="B212" s="397" t="s">
        <v>276</v>
      </c>
      <c r="C212" s="397" t="s">
        <v>982</v>
      </c>
      <c r="D212" s="397" t="s">
        <v>983</v>
      </c>
      <c r="E212" s="397" t="s">
        <v>985</v>
      </c>
      <c r="F212" s="397" t="s">
        <v>984</v>
      </c>
      <c r="G212" s="397" t="s">
        <v>638</v>
      </c>
      <c r="H212" s="397" t="s">
        <v>639</v>
      </c>
    </row>
    <row r="213" spans="1:8" x14ac:dyDescent="0.2">
      <c r="B213" s="358" t="s">
        <v>38</v>
      </c>
      <c r="C213" s="182">
        <v>0.1</v>
      </c>
      <c r="D213" s="182">
        <v>0.19</v>
      </c>
      <c r="E213" s="182">
        <v>0.24</v>
      </c>
      <c r="F213" s="474">
        <v>0.42</v>
      </c>
      <c r="G213" s="474">
        <v>0.42</v>
      </c>
      <c r="H213" s="474">
        <v>0.6</v>
      </c>
    </row>
    <row r="214" spans="1:8" x14ac:dyDescent="0.2">
      <c r="B214" s="549" t="s">
        <v>335</v>
      </c>
    </row>
    <row r="216" spans="1:8" ht="15" x14ac:dyDescent="0.2">
      <c r="B216" s="227" t="s">
        <v>749</v>
      </c>
    </row>
    <row r="217" spans="1:8" ht="45" x14ac:dyDescent="0.2">
      <c r="A217" s="492"/>
      <c r="B217" s="397" t="s">
        <v>336</v>
      </c>
      <c r="C217" s="397" t="s">
        <v>628</v>
      </c>
      <c r="D217" s="397" t="s">
        <v>629</v>
      </c>
      <c r="E217" s="397" t="s">
        <v>337</v>
      </c>
      <c r="F217" s="397" t="s">
        <v>630</v>
      </c>
    </row>
    <row r="218" spans="1:8" x14ac:dyDescent="0.2">
      <c r="B218" s="358" t="s">
        <v>38</v>
      </c>
      <c r="C218" s="536">
        <v>150000</v>
      </c>
      <c r="D218" s="536">
        <v>38438</v>
      </c>
      <c r="E218" s="183">
        <v>3.2</v>
      </c>
      <c r="F218" s="183">
        <v>0.18</v>
      </c>
    </row>
    <row r="219" spans="1:8" x14ac:dyDescent="0.2">
      <c r="B219" s="549" t="s">
        <v>335</v>
      </c>
    </row>
    <row r="221" spans="1:8" ht="15" x14ac:dyDescent="0.25">
      <c r="B221" s="460" t="s">
        <v>750</v>
      </c>
      <c r="C221" s="461"/>
      <c r="D221" s="461"/>
    </row>
    <row r="222" spans="1:8" ht="45" x14ac:dyDescent="0.25">
      <c r="A222" s="492"/>
      <c r="B222" s="395" t="s">
        <v>631</v>
      </c>
      <c r="C222" s="396" t="s">
        <v>638</v>
      </c>
      <c r="D222" s="396" t="s">
        <v>639</v>
      </c>
    </row>
    <row r="223" spans="1:8" ht="15" x14ac:dyDescent="0.25">
      <c r="B223" s="398" t="s">
        <v>632</v>
      </c>
      <c r="C223" s="399">
        <v>3.2</v>
      </c>
      <c r="D223" s="399">
        <v>3.2</v>
      </c>
    </row>
    <row r="224" spans="1:8" x14ac:dyDescent="0.2">
      <c r="B224" s="399" t="s">
        <v>633</v>
      </c>
      <c r="C224" s="399">
        <v>0.18</v>
      </c>
      <c r="D224" s="399">
        <v>0.18</v>
      </c>
    </row>
    <row r="225" spans="1:12" x14ac:dyDescent="0.2">
      <c r="B225" s="399" t="s">
        <v>634</v>
      </c>
      <c r="C225" s="404">
        <v>105000</v>
      </c>
      <c r="D225" s="404">
        <v>150000</v>
      </c>
    </row>
    <row r="226" spans="1:12" x14ac:dyDescent="0.2">
      <c r="B226" s="399" t="s">
        <v>635</v>
      </c>
      <c r="C226" s="404">
        <f>((100%-C224)*C225)/C223</f>
        <v>26906.25</v>
      </c>
      <c r="D226" s="404">
        <f>((100%-D224)*D225)/D223</f>
        <v>38437.5</v>
      </c>
    </row>
    <row r="227" spans="1:12" ht="15" x14ac:dyDescent="0.25">
      <c r="B227" s="400"/>
      <c r="C227" s="401"/>
      <c r="D227" s="401"/>
    </row>
    <row r="228" spans="1:12" ht="22.5" customHeight="1" x14ac:dyDescent="0.25">
      <c r="B228" s="460" t="s">
        <v>751</v>
      </c>
      <c r="C228" s="461"/>
      <c r="D228" s="461"/>
    </row>
    <row r="229" spans="1:12" ht="30" x14ac:dyDescent="0.25">
      <c r="A229" s="492"/>
      <c r="B229" s="402" t="s">
        <v>631</v>
      </c>
      <c r="C229" s="403" t="s">
        <v>636</v>
      </c>
      <c r="D229" s="403" t="s">
        <v>637</v>
      </c>
    </row>
    <row r="230" spans="1:12" x14ac:dyDescent="0.2">
      <c r="B230" s="399" t="s">
        <v>632</v>
      </c>
      <c r="C230" s="399">
        <f>C223</f>
        <v>3.2</v>
      </c>
      <c r="D230" s="399">
        <f>D223</f>
        <v>3.2</v>
      </c>
    </row>
    <row r="231" spans="1:12" x14ac:dyDescent="0.2">
      <c r="B231" s="399" t="s">
        <v>633</v>
      </c>
      <c r="C231" s="399">
        <f>C224</f>
        <v>0.18</v>
      </c>
      <c r="D231" s="399">
        <f>D224</f>
        <v>0.18</v>
      </c>
    </row>
    <row r="232" spans="1:12" x14ac:dyDescent="0.2">
      <c r="B232" s="399" t="s">
        <v>634</v>
      </c>
      <c r="C232" s="404">
        <f>C225*0.8</f>
        <v>84000</v>
      </c>
      <c r="D232" s="404">
        <f>C225*0.6</f>
        <v>63000</v>
      </c>
    </row>
    <row r="233" spans="1:12" x14ac:dyDescent="0.2">
      <c r="B233" s="399" t="s">
        <v>635</v>
      </c>
      <c r="C233" s="404">
        <f>((100%-C231)*C232)/C230</f>
        <v>21525</v>
      </c>
      <c r="D233" s="404">
        <f>((100%-D231)*D232)/D230</f>
        <v>16143.750000000002</v>
      </c>
    </row>
    <row r="234" spans="1:12" x14ac:dyDescent="0.2">
      <c r="B234" s="516"/>
      <c r="C234" s="517"/>
      <c r="D234" s="517"/>
    </row>
    <row r="235" spans="1:12" ht="15" x14ac:dyDescent="0.25">
      <c r="B235" s="460" t="s">
        <v>974</v>
      </c>
      <c r="C235" s="460"/>
      <c r="D235" s="460"/>
      <c r="E235" s="460"/>
      <c r="F235" s="460"/>
      <c r="G235" s="460"/>
      <c r="H235" s="460"/>
      <c r="I235" s="461"/>
      <c r="J235" s="461"/>
      <c r="K235" s="461"/>
      <c r="L235" s="461"/>
    </row>
    <row r="236" spans="1:12" x14ac:dyDescent="0.2">
      <c r="B236" s="518" t="s">
        <v>964</v>
      </c>
      <c r="C236" s="519" t="s">
        <v>965</v>
      </c>
      <c r="D236" s="519" t="s">
        <v>966</v>
      </c>
      <c r="E236" s="519" t="s">
        <v>967</v>
      </c>
      <c r="F236" s="519" t="s">
        <v>968</v>
      </c>
      <c r="G236" s="519" t="s">
        <v>969</v>
      </c>
      <c r="H236" s="519" t="s">
        <v>970</v>
      </c>
      <c r="I236" s="519" t="s">
        <v>971</v>
      </c>
      <c r="J236" s="519" t="s">
        <v>972</v>
      </c>
      <c r="K236" s="519" t="s">
        <v>989</v>
      </c>
      <c r="L236" s="520" t="s">
        <v>990</v>
      </c>
    </row>
    <row r="237" spans="1:12" x14ac:dyDescent="0.2">
      <c r="B237" s="521" t="s">
        <v>279</v>
      </c>
      <c r="C237" s="469">
        <v>0.04</v>
      </c>
      <c r="D237" s="469">
        <v>0.16400000000000001</v>
      </c>
      <c r="E237" s="469">
        <v>8.7999999999999995E-2</v>
      </c>
      <c r="F237" s="469">
        <v>2.8000000000000001E-2</v>
      </c>
      <c r="G237" s="469">
        <v>2.7E-2</v>
      </c>
      <c r="H237" s="469">
        <v>2.8000000000000001E-2</v>
      </c>
      <c r="I237" s="469">
        <v>0.54100000000000004</v>
      </c>
      <c r="J237" s="469">
        <v>8.4000000000000005E-2</v>
      </c>
      <c r="K237" s="469">
        <f>F237+G237+H237</f>
        <v>8.3000000000000004E-2</v>
      </c>
      <c r="L237" s="469">
        <f>G237+H237</f>
        <v>5.5E-2</v>
      </c>
    </row>
    <row r="238" spans="1:12" x14ac:dyDescent="0.2">
      <c r="B238" s="521" t="s">
        <v>910</v>
      </c>
      <c r="C238" s="469">
        <v>0.23499999999999999</v>
      </c>
      <c r="D238" s="469">
        <v>0</v>
      </c>
      <c r="E238" s="469">
        <v>0</v>
      </c>
      <c r="F238" s="469">
        <v>0</v>
      </c>
      <c r="G238" s="469">
        <v>0</v>
      </c>
      <c r="H238" s="469">
        <v>0</v>
      </c>
      <c r="I238" s="469">
        <v>0.36799999999999999</v>
      </c>
      <c r="J238" s="469">
        <v>0.39700000000000002</v>
      </c>
      <c r="K238" s="469">
        <v>0</v>
      </c>
      <c r="L238" s="469">
        <v>0</v>
      </c>
    </row>
    <row r="239" spans="1:12" x14ac:dyDescent="0.2">
      <c r="B239" s="521" t="s">
        <v>281</v>
      </c>
      <c r="C239" s="469">
        <v>8.7999999999999995E-2</v>
      </c>
      <c r="D239" s="469">
        <v>0.17899999999999999</v>
      </c>
      <c r="E239" s="469">
        <v>0.123</v>
      </c>
      <c r="F239" s="469">
        <v>7.2999999999999995E-2</v>
      </c>
      <c r="G239" s="469">
        <v>4.4999999999999998E-2</v>
      </c>
      <c r="H239" s="469">
        <v>3.3000000000000002E-2</v>
      </c>
      <c r="I239" s="469">
        <v>0.33500000000000002</v>
      </c>
      <c r="J239" s="469">
        <v>0.124</v>
      </c>
      <c r="K239" s="469">
        <f>F239+G239+H239</f>
        <v>0.151</v>
      </c>
      <c r="L239" s="469">
        <f>G239+H239</f>
        <v>7.8E-2</v>
      </c>
    </row>
    <row r="240" spans="1:12" x14ac:dyDescent="0.2">
      <c r="B240" s="521" t="s">
        <v>282</v>
      </c>
      <c r="C240" s="469">
        <v>6.5000000000000002E-2</v>
      </c>
      <c r="D240" s="469">
        <v>0.12</v>
      </c>
      <c r="E240" s="469">
        <v>8.7999999999999995E-2</v>
      </c>
      <c r="F240" s="469">
        <v>5.5E-2</v>
      </c>
      <c r="G240" s="469">
        <v>5.8000000000000003E-2</v>
      </c>
      <c r="H240" s="469">
        <v>5.3999999999999999E-2</v>
      </c>
      <c r="I240" s="469">
        <v>0.39900000000000002</v>
      </c>
      <c r="J240" s="469">
        <v>0.161</v>
      </c>
      <c r="K240" s="469">
        <f>F240+G240+H240</f>
        <v>0.16700000000000001</v>
      </c>
      <c r="L240" s="469">
        <f>G240+H240</f>
        <v>0.112</v>
      </c>
    </row>
    <row r="241" spans="2:12" x14ac:dyDescent="0.2">
      <c r="B241" s="521" t="s">
        <v>284</v>
      </c>
      <c r="C241" s="469">
        <v>5.6000000000000001E-2</v>
      </c>
      <c r="D241" s="469">
        <v>0.191</v>
      </c>
      <c r="E241" s="469">
        <v>4.2999999999999997E-2</v>
      </c>
      <c r="F241" s="469">
        <v>5.7000000000000002E-2</v>
      </c>
      <c r="G241" s="469">
        <v>8.6999999999999994E-2</v>
      </c>
      <c r="H241" s="469">
        <v>2.5000000000000001E-2</v>
      </c>
      <c r="I241" s="469">
        <v>0.41</v>
      </c>
      <c r="J241" s="469">
        <v>0.13100000000000001</v>
      </c>
      <c r="K241" s="469">
        <f>F241+G241+H241</f>
        <v>0.16899999999999998</v>
      </c>
      <c r="L241" s="469">
        <f>G241+H241</f>
        <v>0.11199999999999999</v>
      </c>
    </row>
    <row r="242" spans="2:12" x14ac:dyDescent="0.2">
      <c r="B242" s="521" t="s">
        <v>283</v>
      </c>
      <c r="C242" s="469">
        <v>3.7999999999999999E-2</v>
      </c>
      <c r="D242" s="469">
        <v>0.154</v>
      </c>
      <c r="E242" s="469">
        <v>4.2000000000000003E-2</v>
      </c>
      <c r="F242" s="469">
        <v>1.2E-2</v>
      </c>
      <c r="G242" s="469">
        <v>0.03</v>
      </c>
      <c r="H242" s="469">
        <v>6.7000000000000004E-2</v>
      </c>
      <c r="I242" s="469">
        <v>0.45500000000000002</v>
      </c>
      <c r="J242" s="469">
        <v>0.20200000000000001</v>
      </c>
      <c r="K242" s="469">
        <f>F242+G242+H242</f>
        <v>0.109</v>
      </c>
      <c r="L242" s="469">
        <f>G242+H242</f>
        <v>9.7000000000000003E-2</v>
      </c>
    </row>
    <row r="243" spans="2:12" ht="15" x14ac:dyDescent="0.25">
      <c r="B243" s="522" t="s">
        <v>973</v>
      </c>
      <c r="C243" s="523">
        <v>7.0999999999999994E-2</v>
      </c>
      <c r="D243" s="523">
        <v>0.17</v>
      </c>
      <c r="E243" s="523">
        <v>0.10299999999999999</v>
      </c>
      <c r="F243" s="523">
        <v>5.8999999999999997E-2</v>
      </c>
      <c r="G243" s="523">
        <v>4.4999999999999998E-2</v>
      </c>
      <c r="H243" s="523">
        <v>3.5999999999999997E-2</v>
      </c>
      <c r="I243" s="523">
        <v>0.38900000000000001</v>
      </c>
      <c r="J243" s="523">
        <v>0.127</v>
      </c>
      <c r="K243" s="523">
        <f>F243+G243+H243</f>
        <v>0.13999999999999999</v>
      </c>
      <c r="L243" s="523">
        <f>G243+H243</f>
        <v>8.0999999999999989E-2</v>
      </c>
    </row>
    <row r="244" spans="2:12" ht="15" x14ac:dyDescent="0.25">
      <c r="B244" s="532"/>
      <c r="C244" s="531"/>
      <c r="D244" s="531"/>
      <c r="E244" s="531"/>
      <c r="F244" s="531"/>
      <c r="G244" s="531"/>
      <c r="H244" s="531"/>
      <c r="I244" s="531"/>
      <c r="J244" s="531"/>
      <c r="K244" s="531"/>
      <c r="L244" s="531"/>
    </row>
    <row r="245" spans="2:12" ht="15" x14ac:dyDescent="0.25">
      <c r="B245" s="532" t="s">
        <v>1070</v>
      </c>
      <c r="C245" s="531"/>
      <c r="D245" s="531"/>
      <c r="E245" s="531"/>
      <c r="F245" s="531"/>
      <c r="G245" s="531"/>
      <c r="H245" s="531"/>
      <c r="I245" s="531"/>
      <c r="J245" s="531"/>
      <c r="K245" s="531"/>
      <c r="L245" s="531"/>
    </row>
    <row r="246" spans="2:12" ht="28.5" x14ac:dyDescent="0.25">
      <c r="B246" s="569"/>
      <c r="C246" s="232" t="s">
        <v>1079</v>
      </c>
      <c r="D246" s="232" t="s">
        <v>1080</v>
      </c>
      <c r="E246" s="232" t="s">
        <v>980</v>
      </c>
      <c r="F246" s="531"/>
      <c r="G246" s="531"/>
      <c r="H246" s="531"/>
      <c r="I246" s="531"/>
      <c r="J246" s="531"/>
      <c r="K246" s="531"/>
      <c r="L246" s="531"/>
    </row>
    <row r="247" spans="2:12" ht="15" x14ac:dyDescent="0.25">
      <c r="B247" s="570" t="s">
        <v>1081</v>
      </c>
      <c r="C247" s="571">
        <v>18295.033333698237</v>
      </c>
      <c r="D247" s="571">
        <v>115111</v>
      </c>
      <c r="E247" s="574">
        <v>6.2919262239316716</v>
      </c>
      <c r="F247" s="531"/>
      <c r="G247" s="531"/>
      <c r="H247" s="531"/>
      <c r="I247" s="531"/>
      <c r="J247" s="531"/>
      <c r="K247" s="531"/>
      <c r="L247" s="531"/>
    </row>
    <row r="248" spans="2:12" ht="15" x14ac:dyDescent="0.25">
      <c r="B248" s="570" t="s">
        <v>1082</v>
      </c>
      <c r="C248" s="571">
        <v>31846.883571416089</v>
      </c>
      <c r="D248" s="571">
        <v>161159</v>
      </c>
      <c r="E248" s="574">
        <v>5.0604323540356377</v>
      </c>
      <c r="F248" s="531"/>
      <c r="G248" s="531"/>
      <c r="H248" s="531"/>
      <c r="I248" s="531"/>
      <c r="J248" s="531"/>
      <c r="K248" s="531"/>
      <c r="L248" s="531"/>
    </row>
    <row r="249" spans="2:12" ht="15" x14ac:dyDescent="0.25">
      <c r="B249" s="570" t="s">
        <v>323</v>
      </c>
      <c r="C249" s="571">
        <v>38801.074688893561</v>
      </c>
      <c r="D249" s="571">
        <v>185514.31880000001</v>
      </c>
      <c r="E249" s="574">
        <v>4.7811644467956382</v>
      </c>
      <c r="F249" s="531"/>
      <c r="G249" s="531"/>
      <c r="H249" s="531"/>
      <c r="I249" s="531"/>
      <c r="J249" s="531"/>
      <c r="K249" s="531"/>
      <c r="L249" s="531"/>
    </row>
    <row r="250" spans="2:12" ht="15" x14ac:dyDescent="0.25">
      <c r="B250" s="565"/>
      <c r="C250" s="566"/>
      <c r="D250" s="566"/>
      <c r="E250" s="566"/>
      <c r="F250" s="531"/>
      <c r="G250" s="531"/>
      <c r="H250" s="531"/>
      <c r="I250" s="531"/>
      <c r="J250" s="531"/>
      <c r="K250" s="531"/>
      <c r="L250" s="531"/>
    </row>
    <row r="251" spans="2:12" ht="15" x14ac:dyDescent="0.25">
      <c r="B251" s="565" t="s">
        <v>1083</v>
      </c>
      <c r="C251" s="567"/>
      <c r="D251" s="567"/>
      <c r="E251" s="568"/>
      <c r="F251" s="531"/>
      <c r="G251" s="531"/>
      <c r="H251" s="531"/>
      <c r="I251" s="531"/>
      <c r="J251" s="531"/>
      <c r="K251" s="531"/>
      <c r="L251" s="531"/>
    </row>
    <row r="252" spans="2:12" ht="28.5" x14ac:dyDescent="0.25">
      <c r="B252" s="569"/>
      <c r="C252" s="232" t="s">
        <v>38</v>
      </c>
      <c r="D252" s="232" t="s">
        <v>1084</v>
      </c>
      <c r="E252" s="232" t="s">
        <v>1085</v>
      </c>
      <c r="F252" s="531"/>
      <c r="G252" s="531"/>
      <c r="H252" s="531"/>
      <c r="I252" s="531"/>
      <c r="J252" s="531"/>
      <c r="K252" s="531"/>
      <c r="L252" s="531"/>
    </row>
    <row r="253" spans="2:12" ht="15" x14ac:dyDescent="0.25">
      <c r="B253" s="570" t="s">
        <v>1086</v>
      </c>
      <c r="C253" s="572">
        <v>17500</v>
      </c>
      <c r="D253" s="572">
        <v>17500</v>
      </c>
      <c r="E253" s="573">
        <v>0</v>
      </c>
      <c r="F253" s="531"/>
      <c r="G253" s="531"/>
      <c r="H253" s="531"/>
      <c r="I253" s="531"/>
      <c r="J253" s="531"/>
      <c r="K253" s="531"/>
      <c r="L253" s="531"/>
    </row>
    <row r="254" spans="2:12" ht="15" x14ac:dyDescent="0.25">
      <c r="B254" s="570" t="s">
        <v>1081</v>
      </c>
      <c r="C254" s="572">
        <v>18295.033333698237</v>
      </c>
      <c r="D254" s="572">
        <v>16568.873768775135</v>
      </c>
      <c r="E254" s="573">
        <v>9.4351266457855035E-2</v>
      </c>
      <c r="F254" s="531"/>
      <c r="G254" s="531"/>
      <c r="H254" s="531"/>
      <c r="I254" s="531"/>
      <c r="J254" s="531"/>
      <c r="K254" s="531"/>
      <c r="L254" s="531"/>
    </row>
    <row r="255" spans="2:12" ht="15" x14ac:dyDescent="0.25">
      <c r="B255" s="570" t="s">
        <v>1082</v>
      </c>
      <c r="C255" s="572">
        <v>31846.883571416089</v>
      </c>
      <c r="D255" s="572">
        <v>29823.376293046051</v>
      </c>
      <c r="E255" s="573">
        <v>6.3538627691226299E-2</v>
      </c>
      <c r="F255" s="531"/>
      <c r="G255" s="531"/>
      <c r="H255" s="531"/>
      <c r="I255" s="531"/>
      <c r="J255" s="531"/>
      <c r="K255" s="531"/>
      <c r="L255" s="531"/>
    </row>
    <row r="256" spans="2:12" ht="15" x14ac:dyDescent="0.25">
      <c r="B256" s="570" t="s">
        <v>1087</v>
      </c>
      <c r="C256" s="572">
        <v>38801.074688893561</v>
      </c>
      <c r="D256" s="572">
        <v>37757.297304857631</v>
      </c>
      <c r="E256" s="573">
        <v>2.6900733868969379E-2</v>
      </c>
      <c r="F256" s="531"/>
      <c r="G256" s="531"/>
      <c r="H256" s="531"/>
      <c r="I256" s="531"/>
      <c r="J256" s="531"/>
      <c r="K256" s="531"/>
      <c r="L256" s="531"/>
    </row>
    <row r="257" spans="2:12" ht="15" x14ac:dyDescent="0.25">
      <c r="B257" s="532"/>
      <c r="C257" s="531"/>
      <c r="D257" s="531"/>
      <c r="E257" s="531"/>
      <c r="F257" s="531"/>
      <c r="G257" s="531"/>
      <c r="H257" s="531"/>
      <c r="I257" s="531"/>
      <c r="J257" s="531"/>
      <c r="K257" s="531"/>
      <c r="L257" s="531"/>
    </row>
    <row r="258" spans="2:12" ht="15" x14ac:dyDescent="0.25">
      <c r="B258" s="532" t="s">
        <v>981</v>
      </c>
      <c r="C258" s="531"/>
      <c r="D258" s="531"/>
      <c r="E258" s="531"/>
      <c r="F258" s="531"/>
      <c r="G258" s="531"/>
      <c r="H258" s="531"/>
      <c r="I258" s="531"/>
      <c r="J258" s="531"/>
      <c r="K258" s="531"/>
      <c r="L258" s="531"/>
    </row>
    <row r="259" spans="2:12" ht="28.5" x14ac:dyDescent="0.25">
      <c r="B259" s="461"/>
      <c r="C259" s="534" t="s">
        <v>978</v>
      </c>
      <c r="D259" s="534" t="s">
        <v>979</v>
      </c>
      <c r="E259" s="534" t="s">
        <v>980</v>
      </c>
      <c r="F259" s="531"/>
      <c r="G259" s="531"/>
      <c r="H259" s="531"/>
      <c r="I259" s="531"/>
      <c r="J259" s="531"/>
      <c r="K259" s="531"/>
      <c r="L259" s="531"/>
    </row>
    <row r="260" spans="2:12" ht="15" x14ac:dyDescent="0.25">
      <c r="B260" s="248" t="s">
        <v>279</v>
      </c>
      <c r="C260" s="535">
        <v>27560</v>
      </c>
      <c r="D260" s="535">
        <v>140000</v>
      </c>
      <c r="E260" s="533">
        <v>5.0798258345428158</v>
      </c>
      <c r="F260" s="531"/>
      <c r="G260" s="531"/>
      <c r="H260" s="531"/>
      <c r="I260" s="531"/>
      <c r="J260" s="531"/>
      <c r="K260" s="531"/>
      <c r="L260" s="531"/>
    </row>
    <row r="261" spans="2:12" ht="15" x14ac:dyDescent="0.25">
      <c r="B261" s="248" t="s">
        <v>280</v>
      </c>
      <c r="C261" s="535">
        <v>27040</v>
      </c>
      <c r="D261" s="535">
        <v>165000</v>
      </c>
      <c r="E261" s="533">
        <v>6.1020710059171597</v>
      </c>
      <c r="F261" s="531"/>
      <c r="G261" s="531"/>
      <c r="H261" s="531"/>
      <c r="I261" s="531"/>
      <c r="J261" s="531"/>
      <c r="K261" s="531"/>
      <c r="L261" s="531"/>
    </row>
    <row r="262" spans="2:12" ht="15" x14ac:dyDescent="0.25">
      <c r="B262" s="248" t="s">
        <v>281</v>
      </c>
      <c r="C262" s="535">
        <v>31200</v>
      </c>
      <c r="D262" s="535">
        <v>165000</v>
      </c>
      <c r="E262" s="533">
        <v>5.2884615384615383</v>
      </c>
      <c r="F262" s="531"/>
      <c r="G262" s="531"/>
      <c r="H262" s="531"/>
      <c r="I262" s="531"/>
      <c r="J262" s="531"/>
      <c r="K262" s="531"/>
      <c r="L262" s="531"/>
    </row>
    <row r="263" spans="2:12" ht="15" x14ac:dyDescent="0.25">
      <c r="B263" s="248" t="s">
        <v>282</v>
      </c>
      <c r="C263" s="535">
        <v>31720</v>
      </c>
      <c r="D263" s="535">
        <v>175000</v>
      </c>
      <c r="E263" s="533">
        <v>5.5170239596469104</v>
      </c>
      <c r="F263" s="531"/>
      <c r="G263" s="531"/>
      <c r="H263" s="531"/>
      <c r="I263" s="531"/>
      <c r="J263" s="531"/>
      <c r="K263" s="531"/>
      <c r="L263" s="531"/>
    </row>
    <row r="264" spans="2:12" ht="15" x14ac:dyDescent="0.25">
      <c r="B264" s="248" t="s">
        <v>283</v>
      </c>
      <c r="C264" s="535">
        <v>28600</v>
      </c>
      <c r="D264" s="535">
        <v>140000</v>
      </c>
      <c r="E264" s="533">
        <v>4.895104895104895</v>
      </c>
      <c r="F264" s="531"/>
      <c r="G264" s="531"/>
      <c r="H264" s="531"/>
      <c r="I264" s="531"/>
      <c r="J264" s="531"/>
      <c r="K264" s="531"/>
      <c r="L264" s="531"/>
    </row>
    <row r="265" spans="2:12" ht="15" x14ac:dyDescent="0.25">
      <c r="B265" s="248" t="s">
        <v>284</v>
      </c>
      <c r="C265" s="535">
        <v>28600</v>
      </c>
      <c r="D265" s="535">
        <v>155000</v>
      </c>
      <c r="E265" s="533">
        <v>5.4195804195804191</v>
      </c>
      <c r="F265" s="531"/>
      <c r="G265" s="531"/>
      <c r="H265" s="531"/>
      <c r="I265" s="531"/>
      <c r="J265" s="531"/>
      <c r="K265" s="531"/>
      <c r="L265" s="531"/>
    </row>
    <row r="266" spans="2:12" ht="15" x14ac:dyDescent="0.25">
      <c r="B266" s="248" t="s">
        <v>38</v>
      </c>
      <c r="C266" s="535">
        <v>30160</v>
      </c>
      <c r="D266" s="535">
        <v>159000</v>
      </c>
      <c r="E266" s="533">
        <v>5.2718832891246681</v>
      </c>
      <c r="F266" s="531"/>
      <c r="G266" s="531"/>
      <c r="H266" s="531"/>
      <c r="I266" s="531"/>
      <c r="J266" s="531"/>
      <c r="K266" s="531"/>
      <c r="L266" s="531"/>
    </row>
    <row r="267" spans="2:12" ht="15" x14ac:dyDescent="0.25">
      <c r="B267" s="532"/>
      <c r="C267" s="531"/>
      <c r="D267" s="531"/>
      <c r="E267" s="531"/>
      <c r="F267" s="531"/>
      <c r="G267" s="531"/>
      <c r="H267" s="531"/>
      <c r="I267" s="531"/>
      <c r="J267" s="531"/>
      <c r="K267" s="531"/>
      <c r="L267" s="531"/>
    </row>
    <row r="268" spans="2:12" x14ac:dyDescent="0.2">
      <c r="B268" s="561"/>
      <c r="C268" s="561"/>
      <c r="D268" s="561"/>
    </row>
  </sheetData>
  <mergeCells count="29">
    <mergeCell ref="F160:H160"/>
    <mergeCell ref="C160:E160"/>
    <mergeCell ref="E199:G199"/>
    <mergeCell ref="H199:J199"/>
    <mergeCell ref="I160:K160"/>
    <mergeCell ref="B2:J2"/>
    <mergeCell ref="B3:J3"/>
    <mergeCell ref="B28:H28"/>
    <mergeCell ref="B83:H83"/>
    <mergeCell ref="B105:H105"/>
    <mergeCell ref="B116:C116"/>
    <mergeCell ref="B117:C117"/>
    <mergeCell ref="B118:C118"/>
    <mergeCell ref="B112:H112"/>
    <mergeCell ref="L28:P28"/>
    <mergeCell ref="I48:J48"/>
    <mergeCell ref="B40:H40"/>
    <mergeCell ref="B63:H63"/>
    <mergeCell ref="B34:H34"/>
    <mergeCell ref="B46:H46"/>
    <mergeCell ref="B132:C132"/>
    <mergeCell ref="B138:C138"/>
    <mergeCell ref="B139:C139"/>
    <mergeCell ref="B140:C140"/>
    <mergeCell ref="B123:C123"/>
    <mergeCell ref="B124:C124"/>
    <mergeCell ref="B125:C125"/>
    <mergeCell ref="B130:C130"/>
    <mergeCell ref="B131:C131"/>
  </mergeCells>
  <conditionalFormatting sqref="I156">
    <cfRule type="colorScale" priority="98">
      <colorScale>
        <cfvo type="min"/>
        <cfvo type="percentile" val="50"/>
        <cfvo type="max"/>
        <color rgb="FF63BE7B"/>
        <color rgb="FFFFEB84"/>
        <color rgb="FFF8696B"/>
      </colorScale>
    </cfRule>
  </conditionalFormatting>
  <conditionalFormatting sqref="J156">
    <cfRule type="colorScale" priority="99">
      <colorScale>
        <cfvo type="min"/>
        <cfvo type="percentile" val="50"/>
        <cfvo type="max"/>
        <color rgb="FF63BE7B"/>
        <color rgb="FFFFEB84"/>
        <color rgb="FFF8696B"/>
      </colorScale>
    </cfRule>
  </conditionalFormatting>
  <conditionalFormatting sqref="K156">
    <cfRule type="colorScale" priority="100">
      <colorScale>
        <cfvo type="min"/>
        <cfvo type="percentile" val="50"/>
        <cfvo type="max"/>
        <color rgb="FF63BE7B"/>
        <color rgb="FFFFEB84"/>
        <color rgb="FFF8696B"/>
      </colorScale>
    </cfRule>
  </conditionalFormatting>
  <conditionalFormatting sqref="U155:U156">
    <cfRule type="colorScale" priority="101">
      <colorScale>
        <cfvo type="min"/>
        <cfvo type="percentile" val="50"/>
        <cfvo type="max"/>
        <color rgb="FF63BE7B"/>
        <color rgb="FFFFEB84"/>
        <color rgb="FFF8696B"/>
      </colorScale>
    </cfRule>
  </conditionalFormatting>
  <conditionalFormatting sqref="V155:V156">
    <cfRule type="colorScale" priority="102">
      <colorScale>
        <cfvo type="min"/>
        <cfvo type="percentile" val="50"/>
        <cfvo type="max"/>
        <color rgb="FF63BE7B"/>
        <color rgb="FFFFEB84"/>
        <color rgb="FFF8696B"/>
      </colorScale>
    </cfRule>
  </conditionalFormatting>
  <conditionalFormatting sqref="W155:W156">
    <cfRule type="colorScale" priority="103">
      <colorScale>
        <cfvo type="min"/>
        <cfvo type="percentile" val="50"/>
        <cfvo type="max"/>
        <color rgb="FF63BE7B"/>
        <color rgb="FFFFEB84"/>
        <color rgb="FFF8696B"/>
      </colorScale>
    </cfRule>
  </conditionalFormatting>
  <conditionalFormatting sqref="E38:E39">
    <cfRule type="colorScale" priority="106">
      <colorScale>
        <cfvo type="min"/>
        <cfvo type="percentile" val="50"/>
        <cfvo type="max"/>
        <color rgb="FFF8696B"/>
        <color rgb="FFFFEB84"/>
        <color rgb="FF63BE7B"/>
      </colorScale>
    </cfRule>
  </conditionalFormatting>
  <conditionalFormatting sqref="H145">
    <cfRule type="colorScale" priority="109">
      <colorScale>
        <cfvo type="min"/>
        <cfvo type="percentile" val="50"/>
        <cfvo type="max"/>
        <color rgb="FF63BE7B"/>
        <color rgb="FFFFEB84"/>
        <color rgb="FFF8696B"/>
      </colorScale>
    </cfRule>
  </conditionalFormatting>
  <conditionalFormatting sqref="C156:D156">
    <cfRule type="colorScale" priority="25">
      <colorScale>
        <cfvo type="min"/>
        <cfvo type="percentile" val="50"/>
        <cfvo type="max"/>
        <color rgb="FF63BE7B"/>
        <color rgb="FFFFEB84"/>
        <color rgb="FFF8696B"/>
      </colorScale>
    </cfRule>
  </conditionalFormatting>
  <conditionalFormatting sqref="C168">
    <cfRule type="iconSet" priority="23">
      <iconSet>
        <cfvo type="percent" val="0"/>
        <cfvo type="percent" val="33"/>
        <cfvo type="percent" val="67"/>
      </iconSet>
    </cfRule>
  </conditionalFormatting>
  <conditionalFormatting sqref="I162:K168">
    <cfRule type="colorScale" priority="22">
      <colorScale>
        <cfvo type="min"/>
        <cfvo type="percentile" val="50"/>
        <cfvo type="max"/>
        <color rgb="FFF8696B"/>
        <color rgb="FFFFEB84"/>
        <color rgb="FF63BE7B"/>
      </colorScale>
    </cfRule>
  </conditionalFormatting>
  <conditionalFormatting sqref="E201:G202">
    <cfRule type="colorScale" priority="20">
      <colorScale>
        <cfvo type="min"/>
        <cfvo type="percentile" val="50"/>
        <cfvo type="max"/>
        <color rgb="FFF8696B"/>
        <color rgb="FFFFEB84"/>
        <color rgb="FF63BE7B"/>
      </colorScale>
    </cfRule>
  </conditionalFormatting>
  <conditionalFormatting sqref="H201:J202">
    <cfRule type="colorScale" priority="21">
      <colorScale>
        <cfvo type="min"/>
        <cfvo type="percentile" val="50"/>
        <cfvo type="max"/>
        <color rgb="FFF8696B"/>
        <color rgb="FFFFEB84"/>
        <color rgb="FF63BE7B"/>
      </colorScale>
    </cfRule>
  </conditionalFormatting>
  <conditionalFormatting sqref="E32:E33">
    <cfRule type="colorScale" priority="17">
      <colorScale>
        <cfvo type="min"/>
        <cfvo type="percentile" val="50"/>
        <cfvo type="max"/>
        <color rgb="FFF8696B"/>
        <color rgb="FFFFEB84"/>
        <color rgb="FF63BE7B"/>
      </colorScale>
    </cfRule>
  </conditionalFormatting>
  <conditionalFormatting sqref="E44:E45">
    <cfRule type="colorScale" priority="16">
      <colorScale>
        <cfvo type="min"/>
        <cfvo type="percentile" val="50"/>
        <cfvo type="max"/>
        <color rgb="FFF8696B"/>
        <color rgb="FFFFEB84"/>
        <color rgb="FF63BE7B"/>
      </colorScale>
    </cfRule>
  </conditionalFormatting>
  <conditionalFormatting sqref="F110:G111">
    <cfRule type="colorScale" priority="15">
      <colorScale>
        <cfvo type="min"/>
        <cfvo type="percentile" val="50"/>
        <cfvo type="max"/>
        <color rgb="FF63BE7B"/>
        <color rgb="FFFFEB84"/>
        <color rgb="FFF8696B"/>
      </colorScale>
    </cfRule>
  </conditionalFormatting>
  <conditionalFormatting sqref="H117:H118">
    <cfRule type="colorScale" priority="14">
      <colorScale>
        <cfvo type="min"/>
        <cfvo type="percentile" val="50"/>
        <cfvo type="max"/>
        <color rgb="FF63BE7B"/>
        <color rgb="FFFFEB84"/>
        <color rgb="FFF8696B"/>
      </colorScale>
    </cfRule>
  </conditionalFormatting>
  <conditionalFormatting sqref="H124:I125">
    <cfRule type="colorScale" priority="13">
      <colorScale>
        <cfvo type="min"/>
        <cfvo type="percentile" val="50"/>
        <cfvo type="max"/>
        <color rgb="FF63BE7B"/>
        <color rgb="FFFFEB84"/>
        <color rgb="FFF8696B"/>
      </colorScale>
    </cfRule>
  </conditionalFormatting>
  <conditionalFormatting sqref="H131:I132">
    <cfRule type="colorScale" priority="12">
      <colorScale>
        <cfvo type="min"/>
        <cfvo type="percentile" val="50"/>
        <cfvo type="max"/>
        <color rgb="FF63BE7B"/>
        <color rgb="FFFFEB84"/>
        <color rgb="FFF8696B"/>
      </colorScale>
    </cfRule>
  </conditionalFormatting>
  <conditionalFormatting sqref="C168:H168">
    <cfRule type="iconSet" priority="143">
      <iconSet>
        <cfvo type="percent" val="0"/>
        <cfvo type="percent" val="33"/>
        <cfvo type="percent" val="67"/>
      </iconSet>
    </cfRule>
  </conditionalFormatting>
  <conditionalFormatting sqref="D180">
    <cfRule type="colorScale" priority="144">
      <colorScale>
        <cfvo type="min"/>
        <cfvo type="percentile" val="50"/>
        <cfvo type="max"/>
        <color rgb="FFF8696B"/>
        <color rgb="FFFFEB84"/>
        <color rgb="FF63BE7B"/>
      </colorScale>
    </cfRule>
  </conditionalFormatting>
  <conditionalFormatting sqref="D181">
    <cfRule type="colorScale" priority="11">
      <colorScale>
        <cfvo type="min"/>
        <cfvo type="percentile" val="50"/>
        <cfvo type="max"/>
        <color rgb="FFF8696B"/>
        <color rgb="FFFFEB84"/>
        <color rgb="FF63BE7B"/>
      </colorScale>
    </cfRule>
  </conditionalFormatting>
  <conditionalFormatting sqref="L156">
    <cfRule type="colorScale" priority="10">
      <colorScale>
        <cfvo type="min"/>
        <cfvo type="percentile" val="50"/>
        <cfvo type="max"/>
        <color rgb="FF63BE7B"/>
        <color rgb="FFFFEB84"/>
        <color rgb="FFF8696B"/>
      </colorScale>
    </cfRule>
  </conditionalFormatting>
  <conditionalFormatting sqref="E260:E266">
    <cfRule type="iconSet" priority="9">
      <iconSet reverse="1">
        <cfvo type="percent" val="0"/>
        <cfvo type="percent" val="33"/>
        <cfvo type="percent" val="67"/>
      </iconSet>
    </cfRule>
  </conditionalFormatting>
  <conditionalFormatting sqref="L145:M145">
    <cfRule type="colorScale" priority="185">
      <colorScale>
        <cfvo type="min"/>
        <cfvo type="percentile" val="50"/>
        <cfvo type="max"/>
        <color rgb="FF63BE7B"/>
        <color rgb="FFFFEB84"/>
        <color rgb="FFF8696B"/>
      </colorScale>
    </cfRule>
  </conditionalFormatting>
  <conditionalFormatting sqref="E253:E256">
    <cfRule type="iconSet" priority="5">
      <iconSet>
        <cfvo type="percent" val="0"/>
        <cfvo type="percent" val="33"/>
        <cfvo type="percent" val="67"/>
      </iconSet>
    </cfRule>
  </conditionalFormatting>
  <conditionalFormatting sqref="E247:E249">
    <cfRule type="iconSet" priority="4">
      <iconSet reverse="1">
        <cfvo type="percent" val="0"/>
        <cfvo type="percent" val="33"/>
        <cfvo type="percent" val="67"/>
      </iconSet>
    </cfRule>
  </conditionalFormatting>
  <conditionalFormatting sqref="E195:E197">
    <cfRule type="iconSet" priority="3">
      <iconSet>
        <cfvo type="percent" val="0"/>
        <cfvo type="percent" val="33"/>
        <cfvo type="percent" val="67"/>
      </iconSet>
    </cfRule>
  </conditionalFormatting>
  <conditionalFormatting sqref="C188:I190">
    <cfRule type="colorScale" priority="2">
      <colorScale>
        <cfvo type="min"/>
        <cfvo type="percentile" val="50"/>
        <cfvo type="max"/>
        <color rgb="FF63BE7B"/>
        <color rgb="FFFFEB84"/>
        <color rgb="FFF8696B"/>
      </colorScale>
    </cfRule>
  </conditionalFormatting>
  <hyperlinks>
    <hyperlink ref="B28:H28" r:id="rId1" display="Source: Scottish Government Statistics" xr:uid="{12C6AF2A-FC17-4269-8F02-CD66AAE63CA8}"/>
    <hyperlink ref="B40:H40" r:id="rId2" display="Source: Scottish Government Statistics" xr:uid="{B08A5608-3070-4A52-9D77-973099EE39DD}"/>
    <hyperlink ref="B63:H63" r:id="rId3" display="Source: Scottish Government Statistics" xr:uid="{E6514565-D129-4161-9AB0-B6BE5FAB0088}"/>
    <hyperlink ref="B83:H83" r:id="rId4" display="Source: Scottish Government Statistics" xr:uid="{D14E39A4-6BAB-4285-A16E-1C4CF1BDCBC1}"/>
    <hyperlink ref="B119" r:id="rId5" xr:uid="{9D6DD97F-AFAA-4041-8019-033E3348DFFA}"/>
    <hyperlink ref="B126" r:id="rId6" xr:uid="{D667E6EF-DAE2-40A0-8AA1-BF07DD5705B8}"/>
    <hyperlink ref="B133" r:id="rId7" xr:uid="{BEA8372A-D688-4487-9054-3C6D5401D25C}"/>
    <hyperlink ref="B152" r:id="rId8" display="Source: RSL Stock Database 2020" xr:uid="{98A51E60-B6DA-4A8A-BAC2-9FAA8263B630}"/>
    <hyperlink ref="L160" r:id="rId9" display="../../../../../../../:x:/s/ArneilJohnston/ERV1j2cKo41JpY6LpswikyABIW1nHqmL0eK3zuIwqWKJSA?e=Ugdbck" xr:uid="{3C568178-BC34-4B58-8254-32E2F6C99F5E}"/>
    <hyperlink ref="B34:H34" r:id="rId10" display="Source: Scottish Government Statistics" xr:uid="{390C4CE3-4A23-48CB-9BDC-4592446B89F2}"/>
    <hyperlink ref="B46:H46" r:id="rId11" display="Source: Scottish Government Statistics" xr:uid="{D862C26F-E67C-4EF2-853E-E802EC31EC31}"/>
    <hyperlink ref="B146" r:id="rId12" display="Source: RSL Stock Database 2020" xr:uid="{35C98E26-DCC9-4CD5-8635-5AAAEE416D1C}"/>
    <hyperlink ref="B141" r:id="rId13" xr:uid="{CC8EA43E-9633-4A0F-A1AC-366B1DB38C36}"/>
  </hyperlinks>
  <pageMargins left="0.7" right="0.7" top="0.75" bottom="0.75" header="0.3" footer="0.3"/>
  <pageSetup paperSize="9" orientation="portrait" horizontalDpi="300" verticalDpi="300" r:id="rId14"/>
  <drawing r:id="rId1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68CB9-F193-416D-9F06-9C64791E59DE}">
  <sheetPr>
    <tabColor rgb="FFFFC000"/>
  </sheetPr>
  <dimension ref="A2:V260"/>
  <sheetViews>
    <sheetView showGridLines="0" zoomScale="85" zoomScaleNormal="85" workbookViewId="0">
      <selection activeCell="I236" sqref="I236"/>
    </sheetView>
  </sheetViews>
  <sheetFormatPr defaultRowHeight="14.25" x14ac:dyDescent="0.2"/>
  <cols>
    <col min="1" max="1" width="6.5703125" style="12" customWidth="1"/>
    <col min="2" max="2" width="45.28515625" style="12" customWidth="1"/>
    <col min="3" max="3" width="26.85546875" style="12" customWidth="1"/>
    <col min="4" max="4" width="24.28515625" style="12" customWidth="1"/>
    <col min="5" max="27" width="20.7109375" style="12" customWidth="1"/>
    <col min="28" max="16384" width="9.140625" style="12"/>
  </cols>
  <sheetData>
    <row r="2" spans="1:22" ht="18" x14ac:dyDescent="0.25">
      <c r="B2" s="610" t="s">
        <v>35</v>
      </c>
      <c r="C2" s="611"/>
      <c r="D2" s="611"/>
      <c r="E2" s="611"/>
      <c r="F2" s="611"/>
      <c r="G2" s="611"/>
      <c r="H2" s="612"/>
      <c r="I2"/>
    </row>
    <row r="3" spans="1:22" ht="18" x14ac:dyDescent="0.2">
      <c r="B3" s="613" t="s">
        <v>338</v>
      </c>
      <c r="C3" s="614"/>
      <c r="D3" s="614"/>
      <c r="E3" s="614"/>
      <c r="F3" s="614"/>
      <c r="G3" s="614"/>
      <c r="H3" s="615"/>
    </row>
    <row r="4" spans="1:22" ht="15" x14ac:dyDescent="0.2">
      <c r="B4" s="122"/>
    </row>
    <row r="5" spans="1:22" ht="15" x14ac:dyDescent="0.25">
      <c r="B5" s="16" t="s">
        <v>684</v>
      </c>
    </row>
    <row r="6" spans="1:22" x14ac:dyDescent="0.2">
      <c r="A6" s="340"/>
      <c r="B6" s="88" t="s">
        <v>578</v>
      </c>
      <c r="C6" s="88" t="s">
        <v>38</v>
      </c>
      <c r="D6" s="88" t="s">
        <v>41</v>
      </c>
      <c r="E6" s="88" t="s">
        <v>565</v>
      </c>
      <c r="F6" s="88" t="s">
        <v>566</v>
      </c>
    </row>
    <row r="7" spans="1:22" x14ac:dyDescent="0.2">
      <c r="B7" s="377">
        <v>2004</v>
      </c>
      <c r="C7" s="211">
        <v>43300</v>
      </c>
      <c r="D7" s="211">
        <v>2430000</v>
      </c>
      <c r="E7" s="211"/>
      <c r="F7" s="211"/>
    </row>
    <row r="8" spans="1:22" x14ac:dyDescent="0.2">
      <c r="B8" s="377">
        <v>2005</v>
      </c>
      <c r="C8" s="211">
        <v>43400</v>
      </c>
      <c r="D8" s="211">
        <v>2454600</v>
      </c>
      <c r="E8" s="379">
        <f>(C8-C7)/C7</f>
        <v>2.3094688221709007E-3</v>
      </c>
      <c r="F8" s="379">
        <f>(D8-D7)/D7</f>
        <v>1.0123456790123457E-2</v>
      </c>
      <c r="G8" s="375"/>
      <c r="H8" s="375"/>
      <c r="I8" s="375"/>
      <c r="J8" s="375"/>
      <c r="K8" s="375"/>
      <c r="L8" s="375"/>
      <c r="M8" s="375"/>
      <c r="N8" s="375"/>
      <c r="O8" s="375"/>
      <c r="P8" s="375"/>
      <c r="Q8" s="375"/>
      <c r="R8" s="375"/>
      <c r="S8" s="375"/>
      <c r="T8" s="375"/>
      <c r="U8" s="376"/>
      <c r="V8" s="376"/>
    </row>
    <row r="9" spans="1:22" x14ac:dyDescent="0.2">
      <c r="B9" s="377">
        <v>2006</v>
      </c>
      <c r="C9" s="211">
        <v>45400</v>
      </c>
      <c r="D9" s="211">
        <v>2500200</v>
      </c>
      <c r="E9" s="379">
        <f t="shared" ref="E9:E24" si="0">(C9-C8)/C8</f>
        <v>4.6082949308755762E-2</v>
      </c>
      <c r="F9" s="379">
        <f t="shared" ref="F9:F24" si="1">(D9-D8)/D8</f>
        <v>1.8577364947445614E-2</v>
      </c>
      <c r="G9" s="375"/>
      <c r="H9" s="375"/>
      <c r="I9" s="375"/>
      <c r="J9" s="375"/>
      <c r="K9" s="375"/>
      <c r="L9" s="375"/>
      <c r="M9" s="375"/>
      <c r="N9" s="375"/>
      <c r="O9" s="375"/>
      <c r="P9" s="375"/>
      <c r="Q9" s="375"/>
      <c r="R9" s="375"/>
      <c r="S9" s="375"/>
      <c r="T9" s="375"/>
      <c r="U9" s="376"/>
      <c r="V9" s="376"/>
    </row>
    <row r="10" spans="1:22" x14ac:dyDescent="0.2">
      <c r="B10" s="377">
        <v>2007</v>
      </c>
      <c r="C10" s="211">
        <v>46100</v>
      </c>
      <c r="D10" s="211">
        <v>2528400</v>
      </c>
      <c r="E10" s="379">
        <f t="shared" si="0"/>
        <v>1.5418502202643172E-2</v>
      </c>
      <c r="F10" s="379">
        <f t="shared" si="1"/>
        <v>1.1279097672186225E-2</v>
      </c>
      <c r="G10" s="375"/>
      <c r="H10" s="375"/>
      <c r="I10" s="375"/>
      <c r="J10" s="375"/>
      <c r="K10" s="375"/>
      <c r="L10" s="375"/>
      <c r="M10" s="375"/>
      <c r="N10" s="375"/>
      <c r="O10" s="375"/>
      <c r="P10" s="375"/>
      <c r="Q10" s="375"/>
      <c r="R10" s="375"/>
      <c r="S10" s="375"/>
      <c r="T10" s="375"/>
      <c r="U10" s="376"/>
      <c r="V10" s="376"/>
    </row>
    <row r="11" spans="1:22" x14ac:dyDescent="0.2">
      <c r="B11" s="377">
        <v>2008</v>
      </c>
      <c r="C11" s="211">
        <v>48300</v>
      </c>
      <c r="D11" s="211">
        <v>2534600</v>
      </c>
      <c r="E11" s="379">
        <f t="shared" si="0"/>
        <v>4.7722342733188719E-2</v>
      </c>
      <c r="F11" s="379">
        <f t="shared" si="1"/>
        <v>2.4521436481569374E-3</v>
      </c>
      <c r="G11" s="375"/>
      <c r="H11" s="375"/>
      <c r="I11" s="375"/>
      <c r="J11" s="375"/>
      <c r="K11" s="375"/>
      <c r="L11" s="375"/>
      <c r="M11" s="375"/>
      <c r="N11" s="375"/>
      <c r="O11" s="375"/>
      <c r="P11" s="375"/>
      <c r="Q11" s="375"/>
      <c r="R11" s="375"/>
      <c r="S11" s="375"/>
      <c r="T11" s="375"/>
      <c r="U11" s="376"/>
      <c r="V11" s="376"/>
    </row>
    <row r="12" spans="1:22" x14ac:dyDescent="0.2">
      <c r="B12" s="377">
        <v>2009</v>
      </c>
      <c r="C12" s="211">
        <v>46900</v>
      </c>
      <c r="D12" s="211">
        <v>2497700</v>
      </c>
      <c r="E12" s="379">
        <f t="shared" si="0"/>
        <v>-2.8985507246376812E-2</v>
      </c>
      <c r="F12" s="379">
        <f t="shared" si="1"/>
        <v>-1.4558510218574922E-2</v>
      </c>
      <c r="G12" s="375"/>
      <c r="H12" s="375"/>
      <c r="I12" s="375"/>
      <c r="J12" s="375"/>
      <c r="K12" s="375"/>
      <c r="L12" s="375"/>
      <c r="M12" s="375"/>
      <c r="N12" s="375"/>
      <c r="O12" s="375"/>
      <c r="P12" s="375"/>
      <c r="Q12" s="375"/>
      <c r="R12" s="375"/>
      <c r="S12" s="375"/>
      <c r="T12" s="375"/>
      <c r="U12" s="376"/>
      <c r="V12" s="376"/>
    </row>
    <row r="13" spans="1:22" x14ac:dyDescent="0.2">
      <c r="B13" s="377">
        <v>2010</v>
      </c>
      <c r="C13" s="211">
        <v>48100</v>
      </c>
      <c r="D13" s="211">
        <v>2479700</v>
      </c>
      <c r="E13" s="379">
        <f t="shared" si="0"/>
        <v>2.5586353944562899E-2</v>
      </c>
      <c r="F13" s="379">
        <f t="shared" si="1"/>
        <v>-7.2066300996917161E-3</v>
      </c>
      <c r="G13" s="375"/>
      <c r="H13" s="375"/>
      <c r="I13" s="375"/>
      <c r="J13" s="375"/>
      <c r="K13" s="375"/>
      <c r="L13" s="375"/>
      <c r="M13" s="375"/>
      <c r="N13" s="375"/>
      <c r="O13" s="375"/>
      <c r="P13" s="375"/>
      <c r="Q13" s="375"/>
      <c r="R13" s="375"/>
      <c r="S13" s="375"/>
      <c r="T13" s="375"/>
      <c r="U13" s="376"/>
      <c r="V13" s="376"/>
    </row>
    <row r="14" spans="1:22" x14ac:dyDescent="0.2">
      <c r="B14" s="377">
        <v>2011</v>
      </c>
      <c r="C14" s="211">
        <v>46700</v>
      </c>
      <c r="D14" s="211">
        <v>2476300</v>
      </c>
      <c r="E14" s="379">
        <f t="shared" si="0"/>
        <v>-2.9106029106029108E-2</v>
      </c>
      <c r="F14" s="379">
        <f t="shared" si="1"/>
        <v>-1.371133604871557E-3</v>
      </c>
      <c r="G14" s="375"/>
      <c r="H14" s="375"/>
      <c r="I14" s="375"/>
      <c r="J14" s="375"/>
      <c r="K14" s="375"/>
      <c r="L14" s="375"/>
      <c r="M14" s="375"/>
      <c r="N14" s="375"/>
      <c r="O14" s="375"/>
      <c r="P14" s="375"/>
      <c r="Q14" s="375"/>
      <c r="R14" s="375"/>
      <c r="S14" s="375"/>
      <c r="T14" s="375"/>
      <c r="U14" s="376"/>
      <c r="V14" s="376"/>
    </row>
    <row r="15" spans="1:22" x14ac:dyDescent="0.2">
      <c r="B15" s="377">
        <v>2012</v>
      </c>
      <c r="C15" s="211">
        <v>45200</v>
      </c>
      <c r="D15" s="211">
        <v>2481800</v>
      </c>
      <c r="E15" s="379">
        <f t="shared" si="0"/>
        <v>-3.2119914346895075E-2</v>
      </c>
      <c r="F15" s="379">
        <f t="shared" si="1"/>
        <v>2.2210556071558373E-3</v>
      </c>
      <c r="G15" s="375"/>
      <c r="H15" s="375"/>
      <c r="I15" s="375"/>
      <c r="J15" s="375"/>
      <c r="K15" s="375"/>
      <c r="L15" s="375"/>
      <c r="M15" s="375"/>
      <c r="N15" s="375"/>
      <c r="O15" s="375"/>
      <c r="P15" s="375"/>
      <c r="Q15" s="375"/>
      <c r="R15" s="375"/>
      <c r="S15" s="375"/>
      <c r="T15" s="375"/>
      <c r="U15" s="376"/>
      <c r="V15" s="376"/>
    </row>
    <row r="16" spans="1:22" x14ac:dyDescent="0.2">
      <c r="B16" s="377">
        <v>2013</v>
      </c>
      <c r="C16" s="211">
        <v>47100</v>
      </c>
      <c r="D16" s="211">
        <v>2495100</v>
      </c>
      <c r="E16" s="379">
        <f t="shared" si="0"/>
        <v>4.2035398230088498E-2</v>
      </c>
      <c r="F16" s="379">
        <f t="shared" si="1"/>
        <v>5.3590136191473932E-3</v>
      </c>
      <c r="G16" s="375"/>
      <c r="H16" s="375"/>
      <c r="I16" s="375"/>
      <c r="J16" s="375"/>
      <c r="K16" s="375"/>
      <c r="L16" s="375"/>
      <c r="M16" s="375"/>
      <c r="N16" s="375"/>
      <c r="O16" s="375"/>
      <c r="P16" s="375"/>
      <c r="Q16" s="375"/>
      <c r="R16" s="375"/>
      <c r="S16" s="375"/>
      <c r="T16" s="375"/>
      <c r="U16" s="376"/>
      <c r="V16" s="376"/>
    </row>
    <row r="17" spans="1:22" x14ac:dyDescent="0.2">
      <c r="B17" s="377">
        <v>2014</v>
      </c>
      <c r="C17" s="211">
        <v>46200</v>
      </c>
      <c r="D17" s="211">
        <v>2558800</v>
      </c>
      <c r="E17" s="379">
        <f t="shared" si="0"/>
        <v>-1.9108280254777069E-2</v>
      </c>
      <c r="F17" s="379">
        <f t="shared" si="1"/>
        <v>2.5530038876197345E-2</v>
      </c>
      <c r="G17" s="375"/>
      <c r="H17" s="375"/>
      <c r="I17" s="375"/>
      <c r="J17" s="375"/>
      <c r="K17" s="375"/>
      <c r="L17" s="375"/>
      <c r="M17" s="375"/>
      <c r="N17" s="375"/>
      <c r="O17" s="375"/>
      <c r="P17" s="375"/>
      <c r="Q17" s="375"/>
      <c r="R17" s="375"/>
      <c r="S17" s="375"/>
      <c r="T17" s="375"/>
      <c r="U17" s="376"/>
      <c r="V17" s="376"/>
    </row>
    <row r="18" spans="1:22" x14ac:dyDescent="0.2">
      <c r="B18" s="377">
        <v>2015</v>
      </c>
      <c r="C18" s="211">
        <v>44700</v>
      </c>
      <c r="D18" s="211">
        <v>2582900</v>
      </c>
      <c r="E18" s="379">
        <f t="shared" si="0"/>
        <v>-3.2467532467532464E-2</v>
      </c>
      <c r="F18" s="379">
        <f t="shared" si="1"/>
        <v>9.418477411286541E-3</v>
      </c>
      <c r="G18" s="375"/>
      <c r="H18" s="375"/>
      <c r="I18" s="375"/>
      <c r="J18" s="375"/>
      <c r="K18" s="375"/>
      <c r="L18" s="375"/>
      <c r="M18" s="375"/>
      <c r="N18" s="375"/>
      <c r="O18" s="375"/>
      <c r="P18" s="375"/>
      <c r="Q18" s="375"/>
      <c r="R18" s="375"/>
      <c r="S18" s="375"/>
      <c r="T18" s="375"/>
      <c r="U18" s="376"/>
      <c r="V18" s="376"/>
    </row>
    <row r="19" spans="1:22" x14ac:dyDescent="0.2">
      <c r="B19" s="377">
        <v>2016</v>
      </c>
      <c r="C19" s="211">
        <v>46100</v>
      </c>
      <c r="D19" s="211">
        <v>2596200</v>
      </c>
      <c r="E19" s="379">
        <f t="shared" si="0"/>
        <v>3.1319910514541388E-2</v>
      </c>
      <c r="F19" s="379">
        <f t="shared" si="1"/>
        <v>5.1492508420767358E-3</v>
      </c>
      <c r="G19" s="375"/>
      <c r="H19" s="375"/>
      <c r="I19" s="375"/>
      <c r="J19" s="375"/>
      <c r="K19" s="375"/>
      <c r="L19" s="375"/>
      <c r="M19" s="375"/>
      <c r="N19" s="375"/>
      <c r="O19" s="375"/>
      <c r="P19" s="375"/>
      <c r="Q19" s="375"/>
      <c r="R19" s="375"/>
      <c r="S19" s="375"/>
      <c r="T19" s="375"/>
      <c r="U19" s="376"/>
      <c r="V19" s="376"/>
    </row>
    <row r="20" spans="1:22" x14ac:dyDescent="0.2">
      <c r="B20" s="377">
        <v>2017</v>
      </c>
      <c r="C20" s="211">
        <v>45600</v>
      </c>
      <c r="D20" s="211">
        <v>2638900</v>
      </c>
      <c r="E20" s="379">
        <f t="shared" si="0"/>
        <v>-1.0845986984815618E-2</v>
      </c>
      <c r="F20" s="379">
        <f t="shared" si="1"/>
        <v>1.6447115014251598E-2</v>
      </c>
      <c r="G20" s="375"/>
      <c r="H20" s="375"/>
      <c r="I20" s="375"/>
      <c r="J20" s="375"/>
      <c r="K20" s="375"/>
      <c r="L20" s="375"/>
      <c r="M20" s="375"/>
      <c r="N20" s="375"/>
      <c r="O20" s="375"/>
      <c r="P20" s="375"/>
      <c r="Q20" s="375"/>
      <c r="R20" s="375"/>
      <c r="S20" s="375"/>
      <c r="T20" s="375"/>
      <c r="U20" s="376"/>
      <c r="V20" s="376"/>
    </row>
    <row r="21" spans="1:22" x14ac:dyDescent="0.2">
      <c r="B21" s="377">
        <v>2018</v>
      </c>
      <c r="C21" s="211">
        <v>44800</v>
      </c>
      <c r="D21" s="211">
        <v>2638400</v>
      </c>
      <c r="E21" s="379">
        <f t="shared" si="0"/>
        <v>-1.7543859649122806E-2</v>
      </c>
      <c r="F21" s="379">
        <f t="shared" si="1"/>
        <v>-1.8947288642995187E-4</v>
      </c>
      <c r="G21" s="375"/>
      <c r="H21" s="375"/>
      <c r="I21" s="375"/>
      <c r="J21" s="375"/>
      <c r="K21" s="375"/>
      <c r="L21" s="375"/>
      <c r="M21" s="375"/>
      <c r="N21" s="375"/>
      <c r="O21" s="375"/>
      <c r="P21" s="375"/>
      <c r="Q21" s="375"/>
      <c r="R21" s="375"/>
      <c r="S21" s="375"/>
      <c r="T21" s="375"/>
      <c r="U21" s="376"/>
      <c r="V21" s="376"/>
    </row>
    <row r="22" spans="1:22" x14ac:dyDescent="0.2">
      <c r="B22" s="377">
        <v>2019</v>
      </c>
      <c r="C22" s="211">
        <v>46500</v>
      </c>
      <c r="D22" s="211">
        <v>2663900</v>
      </c>
      <c r="E22" s="379">
        <f t="shared" si="0"/>
        <v>3.7946428571428568E-2</v>
      </c>
      <c r="F22" s="379">
        <f t="shared" si="1"/>
        <v>9.6649484536082478E-3</v>
      </c>
      <c r="G22" s="375"/>
      <c r="H22" s="375"/>
      <c r="I22" s="375"/>
      <c r="J22" s="375"/>
      <c r="K22" s="375"/>
      <c r="L22" s="375"/>
      <c r="M22" s="375"/>
      <c r="N22" s="375"/>
      <c r="O22" s="375"/>
      <c r="P22" s="375"/>
      <c r="Q22" s="375"/>
      <c r="R22" s="375"/>
      <c r="S22" s="375"/>
      <c r="T22" s="375"/>
      <c r="U22" s="376"/>
      <c r="V22" s="376"/>
    </row>
    <row r="23" spans="1:22" x14ac:dyDescent="0.2">
      <c r="B23" s="377">
        <v>2020</v>
      </c>
      <c r="C23" s="211">
        <v>46600</v>
      </c>
      <c r="D23" s="211">
        <v>2613400</v>
      </c>
      <c r="E23" s="379">
        <f t="shared" si="0"/>
        <v>2.1505376344086021E-3</v>
      </c>
      <c r="F23" s="379">
        <f t="shared" si="1"/>
        <v>-1.8957168061864184E-2</v>
      </c>
      <c r="G23" s="375"/>
      <c r="H23" s="375"/>
      <c r="I23" s="375"/>
      <c r="J23" s="375"/>
      <c r="K23" s="375"/>
      <c r="L23" s="375"/>
      <c r="M23" s="375"/>
      <c r="N23" s="375"/>
      <c r="O23" s="375"/>
      <c r="P23" s="375"/>
      <c r="Q23" s="375"/>
      <c r="R23" s="375"/>
      <c r="S23" s="375"/>
      <c r="T23" s="375"/>
      <c r="U23" s="376"/>
      <c r="V23" s="376"/>
    </row>
    <row r="24" spans="1:22" x14ac:dyDescent="0.2">
      <c r="B24" s="377">
        <v>2021</v>
      </c>
      <c r="C24" s="211">
        <v>45300</v>
      </c>
      <c r="D24" s="211">
        <v>2601800</v>
      </c>
      <c r="E24" s="379">
        <f t="shared" si="0"/>
        <v>-2.7896995708154508E-2</v>
      </c>
      <c r="F24" s="379">
        <f t="shared" si="1"/>
        <v>-4.4386622790234939E-3</v>
      </c>
      <c r="G24" s="375"/>
      <c r="H24" s="375"/>
      <c r="I24" s="375"/>
      <c r="J24" s="375"/>
      <c r="K24" s="375"/>
      <c r="L24" s="375"/>
      <c r="M24" s="375"/>
      <c r="N24" s="375"/>
      <c r="O24" s="375"/>
      <c r="P24" s="375"/>
      <c r="Q24" s="375"/>
      <c r="R24" s="375"/>
      <c r="S24" s="375"/>
      <c r="T24" s="375"/>
      <c r="U24" s="376"/>
      <c r="V24" s="376"/>
    </row>
    <row r="25" spans="1:22" x14ac:dyDescent="0.2">
      <c r="B25" s="377" t="s">
        <v>339</v>
      </c>
      <c r="C25" s="379">
        <f>(C24-C14)/C14</f>
        <v>-2.9978586723768737E-2</v>
      </c>
      <c r="D25" s="379">
        <f>(D24-D14)/D14</f>
        <v>5.068045067237411E-2</v>
      </c>
      <c r="E25" s="375"/>
      <c r="F25" s="375"/>
      <c r="G25" s="375"/>
      <c r="H25" s="375"/>
      <c r="I25" s="375"/>
      <c r="J25" s="375"/>
      <c r="K25" s="375"/>
      <c r="L25" s="375"/>
      <c r="M25" s="375"/>
      <c r="N25" s="375"/>
      <c r="O25" s="375"/>
      <c r="P25" s="375"/>
      <c r="Q25" s="375"/>
      <c r="R25" s="375"/>
      <c r="S25" s="375"/>
      <c r="T25" s="375"/>
      <c r="U25" s="376"/>
      <c r="V25" s="376"/>
    </row>
    <row r="26" spans="1:22" x14ac:dyDescent="0.2">
      <c r="B26" s="377" t="s">
        <v>616</v>
      </c>
      <c r="C26" s="379">
        <f>(C24-C7)/C7</f>
        <v>4.6189376443418015E-2</v>
      </c>
      <c r="D26" s="379">
        <f>(D24-D7)/D7</f>
        <v>7.0699588477366251E-2</v>
      </c>
      <c r="E26" s="375"/>
      <c r="F26" s="375"/>
      <c r="G26" s="375"/>
      <c r="H26" s="375"/>
      <c r="I26" s="375"/>
      <c r="J26" s="375"/>
      <c r="K26" s="375"/>
      <c r="L26" s="375"/>
      <c r="M26" s="375"/>
      <c r="N26" s="375"/>
      <c r="O26" s="375"/>
      <c r="P26" s="375"/>
      <c r="Q26" s="375"/>
      <c r="R26" s="375"/>
      <c r="S26" s="375"/>
      <c r="T26" s="375"/>
      <c r="U26" s="376"/>
      <c r="V26" s="376"/>
    </row>
    <row r="27" spans="1:22" ht="15" x14ac:dyDescent="0.25">
      <c r="B27" s="156" t="s">
        <v>340</v>
      </c>
    </row>
    <row r="28" spans="1:22" ht="15" x14ac:dyDescent="0.25">
      <c r="B28" s="156"/>
    </row>
    <row r="29" spans="1:22" ht="15" x14ac:dyDescent="0.25">
      <c r="B29" s="16" t="s">
        <v>685</v>
      </c>
    </row>
    <row r="30" spans="1:22" x14ac:dyDescent="0.2">
      <c r="A30" s="340"/>
      <c r="B30" s="88" t="s">
        <v>578</v>
      </c>
      <c r="C30" s="88" t="s">
        <v>38</v>
      </c>
      <c r="D30" s="88" t="s">
        <v>41</v>
      </c>
    </row>
    <row r="31" spans="1:22" x14ac:dyDescent="0.2">
      <c r="B31" s="377">
        <v>2004</v>
      </c>
      <c r="C31" s="379">
        <v>0.75700000000000001</v>
      </c>
      <c r="D31" s="379">
        <v>0.72599999999999998</v>
      </c>
    </row>
    <row r="32" spans="1:22" x14ac:dyDescent="0.2">
      <c r="B32" s="377">
        <v>2005</v>
      </c>
      <c r="C32" s="379">
        <v>0.75</v>
      </c>
      <c r="D32" s="379">
        <v>0.73</v>
      </c>
      <c r="E32" s="375"/>
      <c r="F32" s="375"/>
      <c r="G32" s="375"/>
      <c r="H32" s="375"/>
      <c r="I32" s="375"/>
      <c r="J32" s="375"/>
      <c r="K32" s="375"/>
      <c r="L32" s="375"/>
      <c r="M32" s="375"/>
      <c r="N32" s="375"/>
      <c r="O32" s="375"/>
      <c r="P32" s="375"/>
      <c r="Q32" s="376"/>
      <c r="R32" s="376"/>
    </row>
    <row r="33" spans="2:18" x14ac:dyDescent="0.2">
      <c r="B33" s="377">
        <v>2006</v>
      </c>
      <c r="C33" s="379">
        <v>0.76700000000000002</v>
      </c>
      <c r="D33" s="379">
        <v>0.73699999999999999</v>
      </c>
      <c r="E33" s="375"/>
      <c r="F33" s="375"/>
      <c r="G33" s="375"/>
      <c r="H33" s="375"/>
      <c r="I33" s="375"/>
      <c r="J33" s="375"/>
      <c r="K33" s="375"/>
      <c r="L33" s="375"/>
      <c r="M33" s="375"/>
      <c r="N33" s="375"/>
      <c r="O33" s="375"/>
      <c r="P33" s="375"/>
      <c r="Q33" s="376"/>
      <c r="R33" s="376"/>
    </row>
    <row r="34" spans="2:18" x14ac:dyDescent="0.2">
      <c r="B34" s="377">
        <v>2007</v>
      </c>
      <c r="C34" s="379">
        <v>0.78</v>
      </c>
      <c r="D34" s="379">
        <v>0.7390000000000001</v>
      </c>
      <c r="E34" s="375"/>
      <c r="F34" s="375"/>
      <c r="G34" s="375"/>
      <c r="H34" s="375"/>
      <c r="I34" s="375"/>
      <c r="J34" s="375"/>
      <c r="K34" s="375"/>
      <c r="L34" s="375"/>
      <c r="M34" s="375"/>
      <c r="N34" s="375"/>
      <c r="O34" s="375"/>
      <c r="P34" s="375"/>
      <c r="Q34" s="376"/>
      <c r="R34" s="376"/>
    </row>
    <row r="35" spans="2:18" x14ac:dyDescent="0.2">
      <c r="B35" s="377">
        <v>2008</v>
      </c>
      <c r="C35" s="379">
        <v>0.79599999999999993</v>
      </c>
      <c r="D35" s="379">
        <v>0.73599999999999999</v>
      </c>
      <c r="E35" s="375"/>
      <c r="F35" s="375"/>
      <c r="G35" s="375"/>
      <c r="H35" s="375"/>
      <c r="I35" s="375"/>
      <c r="J35" s="375"/>
      <c r="K35" s="375"/>
      <c r="L35" s="375"/>
      <c r="M35" s="375"/>
      <c r="N35" s="375"/>
      <c r="O35" s="375"/>
      <c r="P35" s="375"/>
      <c r="Q35" s="376"/>
      <c r="R35" s="376"/>
    </row>
    <row r="36" spans="2:18" x14ac:dyDescent="0.2">
      <c r="B36" s="377">
        <v>2009</v>
      </c>
      <c r="C36" s="379">
        <v>0.77800000000000002</v>
      </c>
      <c r="D36" s="379">
        <v>0.72</v>
      </c>
      <c r="E36" s="375"/>
      <c r="F36" s="375"/>
      <c r="G36" s="375"/>
      <c r="H36" s="375"/>
      <c r="I36" s="375"/>
      <c r="J36" s="375"/>
      <c r="K36" s="375"/>
      <c r="L36" s="375"/>
      <c r="M36" s="375"/>
      <c r="N36" s="375"/>
      <c r="O36" s="375"/>
      <c r="P36" s="375"/>
      <c r="Q36" s="376"/>
      <c r="R36" s="376"/>
    </row>
    <row r="37" spans="2:18" x14ac:dyDescent="0.2">
      <c r="B37" s="377">
        <v>2010</v>
      </c>
      <c r="C37" s="379">
        <v>0.79900000000000004</v>
      </c>
      <c r="D37" s="379">
        <v>0.71</v>
      </c>
      <c r="E37" s="375"/>
      <c r="F37" s="375"/>
      <c r="G37" s="375"/>
      <c r="H37" s="375"/>
      <c r="I37" s="375"/>
      <c r="J37" s="375"/>
      <c r="K37" s="375"/>
      <c r="L37" s="375"/>
      <c r="M37" s="375"/>
      <c r="N37" s="375"/>
      <c r="O37" s="375"/>
      <c r="P37" s="375"/>
      <c r="Q37" s="376"/>
      <c r="R37" s="376"/>
    </row>
    <row r="38" spans="2:18" x14ac:dyDescent="0.2">
      <c r="B38" s="377">
        <v>2011</v>
      </c>
      <c r="C38" s="379">
        <v>0.78500000000000003</v>
      </c>
      <c r="D38" s="379">
        <v>0.70499999999999996</v>
      </c>
      <c r="E38" s="375"/>
      <c r="F38" s="375"/>
      <c r="G38" s="375"/>
      <c r="H38" s="375"/>
      <c r="I38" s="375"/>
      <c r="J38" s="375"/>
      <c r="K38" s="375"/>
      <c r="L38" s="375"/>
      <c r="M38" s="375"/>
      <c r="N38" s="375"/>
      <c r="O38" s="375"/>
      <c r="P38" s="375"/>
      <c r="Q38" s="376"/>
      <c r="R38" s="376"/>
    </row>
    <row r="39" spans="2:18" x14ac:dyDescent="0.2">
      <c r="B39" s="377">
        <v>2012</v>
      </c>
      <c r="C39" s="379">
        <v>0.77599999999999991</v>
      </c>
      <c r="D39" s="379">
        <v>0.70499999999999996</v>
      </c>
      <c r="E39" s="375"/>
      <c r="F39" s="375"/>
      <c r="G39" s="375"/>
      <c r="H39" s="375"/>
      <c r="I39" s="375"/>
      <c r="J39" s="375"/>
      <c r="K39" s="375"/>
      <c r="L39" s="375"/>
      <c r="M39" s="375"/>
      <c r="N39" s="375"/>
      <c r="O39" s="375"/>
      <c r="P39" s="375"/>
      <c r="Q39" s="376"/>
      <c r="R39" s="376"/>
    </row>
    <row r="40" spans="2:18" x14ac:dyDescent="0.2">
      <c r="B40" s="377">
        <v>2013</v>
      </c>
      <c r="C40" s="379">
        <v>0.78799999999999992</v>
      </c>
      <c r="D40" s="379">
        <v>0.70799999999999996</v>
      </c>
      <c r="E40" s="375"/>
      <c r="F40" s="375"/>
      <c r="G40" s="375"/>
      <c r="H40" s="375"/>
      <c r="I40" s="375"/>
      <c r="J40" s="375"/>
      <c r="K40" s="375"/>
      <c r="L40" s="375"/>
      <c r="M40" s="375"/>
      <c r="N40" s="375"/>
      <c r="O40" s="375"/>
      <c r="P40" s="375"/>
      <c r="Q40" s="376"/>
      <c r="R40" s="376"/>
    </row>
    <row r="41" spans="2:18" x14ac:dyDescent="0.2">
      <c r="B41" s="377">
        <v>2014</v>
      </c>
      <c r="C41" s="379">
        <v>0.77099999999999991</v>
      </c>
      <c r="D41" s="379">
        <v>0.72599999999999998</v>
      </c>
      <c r="E41" s="375"/>
      <c r="F41" s="375"/>
      <c r="G41" s="375"/>
      <c r="H41" s="375"/>
      <c r="I41" s="375"/>
      <c r="J41" s="375"/>
      <c r="K41" s="375"/>
      <c r="L41" s="375"/>
      <c r="M41" s="375"/>
      <c r="N41" s="375"/>
      <c r="O41" s="375"/>
      <c r="P41" s="375"/>
      <c r="Q41" s="376"/>
      <c r="R41" s="376"/>
    </row>
    <row r="42" spans="2:18" x14ac:dyDescent="0.2">
      <c r="B42" s="377">
        <v>2015</v>
      </c>
      <c r="C42" s="379">
        <v>0.7340000000000001</v>
      </c>
      <c r="D42" s="379">
        <v>0.73099999999999998</v>
      </c>
      <c r="E42" s="375"/>
      <c r="F42" s="375"/>
      <c r="G42" s="375"/>
      <c r="H42" s="375"/>
      <c r="I42" s="375"/>
      <c r="J42" s="375"/>
      <c r="K42" s="375"/>
      <c r="L42" s="375"/>
      <c r="M42" s="375"/>
      <c r="N42" s="375"/>
      <c r="O42" s="375"/>
      <c r="P42" s="375"/>
      <c r="Q42" s="376"/>
      <c r="R42" s="376"/>
    </row>
    <row r="43" spans="2:18" x14ac:dyDescent="0.2">
      <c r="B43" s="377">
        <v>2016</v>
      </c>
      <c r="C43" s="379">
        <v>0.755</v>
      </c>
      <c r="D43" s="379">
        <v>0.73</v>
      </c>
      <c r="E43" s="375"/>
      <c r="F43" s="375"/>
      <c r="G43" s="375"/>
      <c r="H43" s="375"/>
      <c r="I43" s="375"/>
      <c r="J43" s="375"/>
      <c r="K43" s="375"/>
      <c r="L43" s="375"/>
      <c r="M43" s="375"/>
      <c r="N43" s="375"/>
      <c r="O43" s="375"/>
      <c r="P43" s="375"/>
      <c r="Q43" s="376"/>
      <c r="R43" s="376"/>
    </row>
    <row r="44" spans="2:18" x14ac:dyDescent="0.2">
      <c r="B44" s="377">
        <v>2017</v>
      </c>
      <c r="C44" s="379">
        <v>0.745</v>
      </c>
      <c r="D44" s="379">
        <v>0.74199999999999999</v>
      </c>
      <c r="E44" s="375"/>
      <c r="F44" s="375"/>
      <c r="G44" s="375"/>
      <c r="H44" s="375"/>
      <c r="I44" s="375"/>
      <c r="J44" s="375"/>
      <c r="K44" s="375"/>
      <c r="L44" s="375"/>
      <c r="M44" s="375"/>
      <c r="N44" s="375"/>
      <c r="O44" s="375"/>
      <c r="P44" s="375"/>
      <c r="Q44" s="376"/>
      <c r="R44" s="376"/>
    </row>
    <row r="45" spans="2:18" x14ac:dyDescent="0.2">
      <c r="B45" s="377">
        <v>2018</v>
      </c>
      <c r="C45" s="379">
        <v>0.72799999999999998</v>
      </c>
      <c r="D45" s="379">
        <v>0.74099999999999999</v>
      </c>
      <c r="E45" s="375"/>
      <c r="F45" s="375"/>
      <c r="G45" s="375"/>
      <c r="H45" s="375"/>
      <c r="I45" s="375"/>
      <c r="J45" s="375"/>
      <c r="K45" s="375"/>
      <c r="L45" s="375"/>
      <c r="M45" s="375"/>
      <c r="N45" s="375"/>
      <c r="O45" s="375"/>
      <c r="P45" s="375"/>
      <c r="Q45" s="376"/>
      <c r="R45" s="376"/>
    </row>
    <row r="46" spans="2:18" x14ac:dyDescent="0.2">
      <c r="B46" s="377">
        <v>2019</v>
      </c>
      <c r="C46" s="379">
        <v>0.75</v>
      </c>
      <c r="D46" s="379">
        <v>0.748</v>
      </c>
      <c r="E46" s="375"/>
      <c r="F46" s="375"/>
      <c r="G46" s="375"/>
      <c r="H46" s="375"/>
      <c r="I46" s="375"/>
      <c r="J46" s="375"/>
      <c r="K46" s="375"/>
      <c r="L46" s="375"/>
      <c r="M46" s="375"/>
      <c r="N46" s="375"/>
      <c r="O46" s="375"/>
      <c r="P46" s="375"/>
      <c r="Q46" s="376"/>
      <c r="R46" s="376"/>
    </row>
    <row r="47" spans="2:18" x14ac:dyDescent="0.2">
      <c r="B47" s="377">
        <v>2020</v>
      </c>
      <c r="C47" s="379">
        <v>0.75099999999999989</v>
      </c>
      <c r="D47" s="379">
        <v>0.7340000000000001</v>
      </c>
      <c r="E47" s="375"/>
      <c r="F47" s="375"/>
      <c r="G47" s="375"/>
      <c r="H47" s="375"/>
      <c r="I47" s="375"/>
      <c r="J47" s="375"/>
      <c r="K47" s="375"/>
      <c r="L47" s="375"/>
      <c r="M47" s="375"/>
      <c r="N47" s="375"/>
      <c r="O47" s="375"/>
      <c r="P47" s="375"/>
      <c r="Q47" s="376"/>
      <c r="R47" s="376"/>
    </row>
    <row r="48" spans="2:18" x14ac:dyDescent="0.2">
      <c r="B48" s="377">
        <v>2021</v>
      </c>
      <c r="C48" s="379">
        <v>0.72799999999999998</v>
      </c>
      <c r="D48" s="379">
        <v>0.73199999999999998</v>
      </c>
      <c r="E48" s="375"/>
      <c r="F48" s="375"/>
      <c r="G48" s="375"/>
      <c r="H48" s="375"/>
      <c r="I48" s="375"/>
      <c r="J48" s="375"/>
      <c r="K48" s="375"/>
      <c r="L48" s="375"/>
      <c r="M48" s="375"/>
      <c r="N48" s="375"/>
      <c r="O48" s="375"/>
      <c r="P48" s="375"/>
      <c r="Q48" s="376"/>
      <c r="R48" s="376"/>
    </row>
    <row r="49" spans="1:18" ht="15" x14ac:dyDescent="0.25">
      <c r="B49" s="156" t="s">
        <v>340</v>
      </c>
      <c r="C49" s="378"/>
      <c r="D49" s="378"/>
    </row>
    <row r="50" spans="1:18" ht="15" x14ac:dyDescent="0.25">
      <c r="B50" s="156"/>
      <c r="C50" s="378"/>
      <c r="D50" s="378"/>
    </row>
    <row r="51" spans="1:18" ht="15" x14ac:dyDescent="0.25">
      <c r="B51" s="156"/>
      <c r="C51" s="378"/>
      <c r="D51" s="378"/>
    </row>
    <row r="52" spans="1:18" ht="15" x14ac:dyDescent="0.25">
      <c r="B52" s="16" t="s">
        <v>686</v>
      </c>
    </row>
    <row r="53" spans="1:18" x14ac:dyDescent="0.2">
      <c r="A53" s="340"/>
      <c r="B53" s="88" t="s">
        <v>578</v>
      </c>
      <c r="C53" s="88" t="s">
        <v>38</v>
      </c>
      <c r="D53" s="88" t="s">
        <v>41</v>
      </c>
      <c r="E53" s="88" t="s">
        <v>565</v>
      </c>
      <c r="F53" s="88" t="s">
        <v>566</v>
      </c>
    </row>
    <row r="54" spans="1:18" x14ac:dyDescent="0.2">
      <c r="B54" s="377">
        <v>2004</v>
      </c>
      <c r="C54" s="211">
        <v>1700</v>
      </c>
      <c r="D54" s="211">
        <v>137100</v>
      </c>
      <c r="E54" s="211"/>
      <c r="F54" s="211"/>
    </row>
    <row r="55" spans="1:18" x14ac:dyDescent="0.2">
      <c r="B55" s="377">
        <v>2005</v>
      </c>
      <c r="C55" s="211">
        <v>1800</v>
      </c>
      <c r="D55" s="211">
        <v>137500</v>
      </c>
      <c r="E55" s="379">
        <f>(C55-C54)/C54</f>
        <v>5.8823529411764705E-2</v>
      </c>
      <c r="F55" s="379">
        <f>(D55-D54)/D54</f>
        <v>2.9175784099197666E-3</v>
      </c>
      <c r="G55" s="375"/>
      <c r="H55" s="375"/>
      <c r="I55" s="375"/>
      <c r="J55" s="375"/>
      <c r="K55" s="375"/>
      <c r="L55" s="375"/>
      <c r="M55" s="375"/>
      <c r="N55" s="375"/>
      <c r="O55" s="375"/>
      <c r="P55" s="375"/>
      <c r="Q55" s="376"/>
      <c r="R55" s="376"/>
    </row>
    <row r="56" spans="1:18" x14ac:dyDescent="0.2">
      <c r="B56" s="377">
        <v>2006</v>
      </c>
      <c r="C56" s="211">
        <v>1900</v>
      </c>
      <c r="D56" s="211">
        <v>136600</v>
      </c>
      <c r="E56" s="379">
        <f t="shared" ref="E56:E71" si="2">(C56-C55)/C55</f>
        <v>5.5555555555555552E-2</v>
      </c>
      <c r="F56" s="379">
        <f t="shared" ref="F56:F71" si="3">(D56-D55)/D55</f>
        <v>-6.5454545454545453E-3</v>
      </c>
      <c r="G56" s="375"/>
      <c r="H56" s="375"/>
      <c r="I56" s="375"/>
      <c r="J56" s="375"/>
      <c r="K56" s="375"/>
      <c r="L56" s="375"/>
      <c r="M56" s="375"/>
      <c r="N56" s="375"/>
      <c r="O56" s="375"/>
      <c r="P56" s="375"/>
      <c r="Q56" s="376"/>
      <c r="R56" s="376"/>
    </row>
    <row r="57" spans="1:18" x14ac:dyDescent="0.2">
      <c r="B57" s="377">
        <v>2007</v>
      </c>
      <c r="C57" s="211">
        <v>1600</v>
      </c>
      <c r="D57" s="211">
        <v>124600</v>
      </c>
      <c r="E57" s="379">
        <f t="shared" si="2"/>
        <v>-0.15789473684210525</v>
      </c>
      <c r="F57" s="379">
        <f t="shared" si="3"/>
        <v>-8.7847730600292828E-2</v>
      </c>
      <c r="G57" s="375"/>
      <c r="H57" s="375"/>
      <c r="I57" s="375"/>
      <c r="J57" s="375"/>
      <c r="K57" s="375"/>
      <c r="L57" s="375"/>
      <c r="M57" s="375"/>
      <c r="N57" s="375"/>
      <c r="O57" s="375"/>
      <c r="P57" s="375"/>
      <c r="Q57" s="376"/>
      <c r="R57" s="376"/>
    </row>
    <row r="58" spans="1:18" x14ac:dyDescent="0.2">
      <c r="B58" s="377">
        <v>2008</v>
      </c>
      <c r="C58" s="211">
        <v>1900</v>
      </c>
      <c r="D58" s="211">
        <v>130100</v>
      </c>
      <c r="E58" s="379">
        <f t="shared" si="2"/>
        <v>0.1875</v>
      </c>
      <c r="F58" s="379">
        <f t="shared" si="3"/>
        <v>4.4141252006420544E-2</v>
      </c>
      <c r="G58" s="375"/>
      <c r="H58" s="375"/>
      <c r="I58" s="375"/>
      <c r="J58" s="375"/>
      <c r="K58" s="375"/>
      <c r="L58" s="375"/>
      <c r="M58" s="375"/>
      <c r="N58" s="375"/>
      <c r="O58" s="375"/>
      <c r="P58" s="375"/>
      <c r="Q58" s="376"/>
      <c r="R58" s="376"/>
    </row>
    <row r="59" spans="1:18" x14ac:dyDescent="0.2">
      <c r="B59" s="377">
        <v>2009</v>
      </c>
      <c r="C59" s="211">
        <v>2200</v>
      </c>
      <c r="D59" s="211">
        <v>185700</v>
      </c>
      <c r="E59" s="379">
        <f t="shared" si="2"/>
        <v>0.15789473684210525</v>
      </c>
      <c r="F59" s="379">
        <f t="shared" si="3"/>
        <v>0.42736356648731744</v>
      </c>
      <c r="G59" s="375"/>
      <c r="H59" s="375"/>
      <c r="I59" s="375"/>
      <c r="J59" s="375"/>
      <c r="K59" s="375"/>
      <c r="L59" s="375"/>
      <c r="M59" s="375"/>
      <c r="N59" s="375"/>
      <c r="O59" s="375"/>
      <c r="P59" s="375"/>
      <c r="Q59" s="376"/>
      <c r="R59" s="376"/>
    </row>
    <row r="60" spans="1:18" x14ac:dyDescent="0.2">
      <c r="B60" s="377">
        <v>2010</v>
      </c>
      <c r="C60" s="211">
        <v>2300</v>
      </c>
      <c r="D60" s="211">
        <v>205500</v>
      </c>
      <c r="E60" s="379">
        <f t="shared" si="2"/>
        <v>4.5454545454545456E-2</v>
      </c>
      <c r="F60" s="379">
        <f t="shared" si="3"/>
        <v>0.10662358642972536</v>
      </c>
      <c r="G60" s="375"/>
      <c r="H60" s="375"/>
      <c r="I60" s="375"/>
      <c r="J60" s="375"/>
      <c r="K60" s="375"/>
      <c r="L60" s="375"/>
      <c r="M60" s="375"/>
      <c r="N60" s="375"/>
      <c r="O60" s="375"/>
      <c r="P60" s="375"/>
      <c r="Q60" s="376"/>
      <c r="R60" s="376"/>
    </row>
    <row r="61" spans="1:18" x14ac:dyDescent="0.2">
      <c r="B61" s="377">
        <v>2011</v>
      </c>
      <c r="C61" s="211">
        <v>2600</v>
      </c>
      <c r="D61" s="211">
        <v>221300</v>
      </c>
      <c r="E61" s="379">
        <f t="shared" si="2"/>
        <v>0.13043478260869565</v>
      </c>
      <c r="F61" s="379">
        <f t="shared" si="3"/>
        <v>7.6885644768856454E-2</v>
      </c>
      <c r="G61" s="375"/>
      <c r="H61" s="375"/>
      <c r="I61" s="375"/>
      <c r="J61" s="375"/>
      <c r="K61" s="375"/>
      <c r="L61" s="375"/>
      <c r="M61" s="375"/>
      <c r="N61" s="375"/>
      <c r="O61" s="375"/>
      <c r="P61" s="375"/>
      <c r="Q61" s="376"/>
      <c r="R61" s="376"/>
    </row>
    <row r="62" spans="1:18" x14ac:dyDescent="0.2">
      <c r="B62" s="377">
        <v>2012</v>
      </c>
      <c r="C62" s="211">
        <v>2300</v>
      </c>
      <c r="D62" s="211">
        <v>214900</v>
      </c>
      <c r="E62" s="379">
        <f t="shared" si="2"/>
        <v>-0.11538461538461539</v>
      </c>
      <c r="F62" s="379">
        <f t="shared" si="3"/>
        <v>-2.8920018075011298E-2</v>
      </c>
      <c r="G62" s="375"/>
      <c r="H62" s="375"/>
      <c r="I62" s="375"/>
      <c r="J62" s="375"/>
      <c r="K62" s="375"/>
      <c r="L62" s="375"/>
      <c r="M62" s="375"/>
      <c r="N62" s="375"/>
      <c r="O62" s="375"/>
      <c r="P62" s="375"/>
      <c r="Q62" s="376"/>
      <c r="R62" s="376"/>
    </row>
    <row r="63" spans="1:18" x14ac:dyDescent="0.2">
      <c r="B63" s="377">
        <v>2013</v>
      </c>
      <c r="C63" s="211">
        <v>2400</v>
      </c>
      <c r="D63" s="211">
        <v>209200</v>
      </c>
      <c r="E63" s="379">
        <f t="shared" si="2"/>
        <v>4.3478260869565216E-2</v>
      </c>
      <c r="F63" s="379">
        <f t="shared" si="3"/>
        <v>-2.652396463471382E-2</v>
      </c>
      <c r="G63" s="375"/>
      <c r="H63" s="375"/>
      <c r="I63" s="375"/>
      <c r="J63" s="375"/>
      <c r="K63" s="375"/>
      <c r="L63" s="375"/>
      <c r="M63" s="375"/>
      <c r="N63" s="375"/>
      <c r="O63" s="375"/>
      <c r="P63" s="375"/>
      <c r="Q63" s="376"/>
      <c r="R63" s="376"/>
    </row>
    <row r="64" spans="1:18" x14ac:dyDescent="0.2">
      <c r="B64" s="377">
        <v>2014</v>
      </c>
      <c r="C64" s="211">
        <v>2200</v>
      </c>
      <c r="D64" s="211">
        <v>169800</v>
      </c>
      <c r="E64" s="379">
        <f t="shared" si="2"/>
        <v>-8.3333333333333329E-2</v>
      </c>
      <c r="F64" s="379">
        <f t="shared" si="3"/>
        <v>-0.18833652007648183</v>
      </c>
      <c r="G64" s="375"/>
      <c r="H64" s="375"/>
      <c r="I64" s="375"/>
      <c r="J64" s="375"/>
      <c r="K64" s="375"/>
      <c r="L64" s="375"/>
      <c r="M64" s="375"/>
      <c r="N64" s="375"/>
      <c r="O64" s="375"/>
      <c r="P64" s="375"/>
      <c r="Q64" s="376"/>
      <c r="R64" s="376"/>
    </row>
    <row r="65" spans="1:18" x14ac:dyDescent="0.2">
      <c r="B65" s="377">
        <v>2015</v>
      </c>
      <c r="C65" s="211">
        <v>1900</v>
      </c>
      <c r="D65" s="211">
        <v>159300</v>
      </c>
      <c r="E65" s="379">
        <f t="shared" si="2"/>
        <v>-0.13636363636363635</v>
      </c>
      <c r="F65" s="379">
        <f t="shared" si="3"/>
        <v>-6.1837455830388695E-2</v>
      </c>
      <c r="G65" s="375"/>
      <c r="H65" s="375"/>
      <c r="I65" s="375"/>
      <c r="J65" s="375"/>
      <c r="K65" s="375"/>
      <c r="L65" s="375"/>
      <c r="M65" s="375"/>
      <c r="N65" s="375"/>
      <c r="O65" s="375"/>
      <c r="P65" s="375"/>
      <c r="Q65" s="376"/>
      <c r="R65" s="376"/>
    </row>
    <row r="66" spans="1:18" x14ac:dyDescent="0.2">
      <c r="B66" s="377">
        <v>2016</v>
      </c>
      <c r="C66" s="211">
        <v>2000</v>
      </c>
      <c r="D66" s="211">
        <v>130400</v>
      </c>
      <c r="E66" s="379">
        <f t="shared" si="2"/>
        <v>5.2631578947368418E-2</v>
      </c>
      <c r="F66" s="379">
        <f t="shared" si="3"/>
        <v>-0.18141870684243566</v>
      </c>
      <c r="G66" s="375"/>
      <c r="H66" s="375"/>
      <c r="I66" s="375"/>
      <c r="J66" s="375"/>
      <c r="K66" s="375"/>
      <c r="L66" s="375"/>
      <c r="M66" s="375"/>
      <c r="N66" s="375"/>
      <c r="O66" s="375"/>
      <c r="P66" s="375"/>
      <c r="Q66" s="376"/>
      <c r="R66" s="376"/>
    </row>
    <row r="67" spans="1:18" x14ac:dyDescent="0.2">
      <c r="B67" s="377">
        <v>2017</v>
      </c>
      <c r="C67" s="211">
        <v>1800</v>
      </c>
      <c r="D67" s="211">
        <v>111900</v>
      </c>
      <c r="E67" s="379">
        <f t="shared" si="2"/>
        <v>-0.1</v>
      </c>
      <c r="F67" s="379">
        <f t="shared" si="3"/>
        <v>-0.14187116564417179</v>
      </c>
      <c r="G67" s="375"/>
      <c r="H67" s="375"/>
      <c r="I67" s="375"/>
      <c r="J67" s="375"/>
      <c r="K67" s="375"/>
      <c r="L67" s="375"/>
      <c r="M67" s="375"/>
      <c r="N67" s="375"/>
      <c r="O67" s="375"/>
      <c r="P67" s="375"/>
      <c r="Q67" s="376"/>
      <c r="R67" s="376"/>
    </row>
    <row r="68" spans="1:18" x14ac:dyDescent="0.2">
      <c r="B68" s="377">
        <v>2018</v>
      </c>
      <c r="C68" s="211">
        <v>1700</v>
      </c>
      <c r="D68" s="211">
        <v>117200</v>
      </c>
      <c r="E68" s="379">
        <f t="shared" si="2"/>
        <v>-5.5555555555555552E-2</v>
      </c>
      <c r="F68" s="379">
        <f t="shared" si="3"/>
        <v>4.736371760500447E-2</v>
      </c>
      <c r="G68" s="375"/>
      <c r="H68" s="375"/>
      <c r="I68" s="375"/>
      <c r="J68" s="375"/>
      <c r="K68" s="375"/>
      <c r="L68" s="375"/>
      <c r="M68" s="375"/>
      <c r="N68" s="375"/>
      <c r="O68" s="375"/>
      <c r="P68" s="375"/>
      <c r="Q68" s="376"/>
      <c r="R68" s="376"/>
    </row>
    <row r="69" spans="1:18" x14ac:dyDescent="0.2">
      <c r="B69" s="377">
        <v>2019</v>
      </c>
      <c r="C69" s="211">
        <v>1600</v>
      </c>
      <c r="D69" s="211">
        <v>95800</v>
      </c>
      <c r="E69" s="379">
        <f t="shared" si="2"/>
        <v>-5.8823529411764705E-2</v>
      </c>
      <c r="F69" s="379">
        <f t="shared" si="3"/>
        <v>-0.1825938566552901</v>
      </c>
      <c r="G69" s="375"/>
      <c r="H69" s="375"/>
      <c r="I69" s="375"/>
      <c r="J69" s="375"/>
      <c r="K69" s="375"/>
      <c r="L69" s="375"/>
      <c r="M69" s="375"/>
      <c r="N69" s="375"/>
      <c r="O69" s="375"/>
      <c r="P69" s="375"/>
      <c r="Q69" s="376"/>
      <c r="R69" s="376"/>
    </row>
    <row r="70" spans="1:18" x14ac:dyDescent="0.2">
      <c r="B70" s="377">
        <v>2020</v>
      </c>
      <c r="C70" s="211">
        <v>1800</v>
      </c>
      <c r="D70" s="211">
        <v>117900</v>
      </c>
      <c r="E70" s="379">
        <f t="shared" si="2"/>
        <v>0.125</v>
      </c>
      <c r="F70" s="379">
        <f t="shared" si="3"/>
        <v>0.23068893528183715</v>
      </c>
      <c r="G70" s="375"/>
      <c r="H70" s="375"/>
      <c r="I70" s="375"/>
      <c r="J70" s="375"/>
      <c r="K70" s="375"/>
      <c r="L70" s="375"/>
      <c r="M70" s="375"/>
      <c r="N70" s="375"/>
      <c r="O70" s="375"/>
      <c r="P70" s="375"/>
      <c r="Q70" s="376"/>
      <c r="R70" s="376"/>
    </row>
    <row r="71" spans="1:18" x14ac:dyDescent="0.2">
      <c r="B71" s="377">
        <v>2021</v>
      </c>
      <c r="C71" s="211">
        <v>1700</v>
      </c>
      <c r="D71" s="211">
        <v>105700</v>
      </c>
      <c r="E71" s="379">
        <f t="shared" si="2"/>
        <v>-5.5555555555555552E-2</v>
      </c>
      <c r="F71" s="379">
        <f t="shared" si="3"/>
        <v>-0.10347752332485156</v>
      </c>
      <c r="G71" s="375"/>
      <c r="H71" s="375"/>
      <c r="I71" s="375"/>
      <c r="J71" s="375"/>
      <c r="K71" s="375"/>
      <c r="L71" s="375"/>
      <c r="M71" s="375"/>
      <c r="N71" s="375"/>
      <c r="O71" s="375"/>
      <c r="P71" s="375"/>
      <c r="Q71" s="376"/>
      <c r="R71" s="376"/>
    </row>
    <row r="72" spans="1:18" ht="15" x14ac:dyDescent="0.25">
      <c r="B72" s="156" t="s">
        <v>340</v>
      </c>
      <c r="C72" s="378"/>
      <c r="D72" s="378"/>
    </row>
    <row r="73" spans="1:18" x14ac:dyDescent="0.2">
      <c r="I73" s="158"/>
      <c r="J73" s="158"/>
      <c r="K73" s="158"/>
    </row>
    <row r="74" spans="1:18" x14ac:dyDescent="0.2">
      <c r="I74" s="332"/>
      <c r="J74" s="332"/>
      <c r="K74" s="332"/>
    </row>
    <row r="75" spans="1:18" ht="15" x14ac:dyDescent="0.25">
      <c r="B75" s="16" t="s">
        <v>687</v>
      </c>
    </row>
    <row r="76" spans="1:18" x14ac:dyDescent="0.2">
      <c r="A76" s="340"/>
      <c r="B76" s="88" t="s">
        <v>578</v>
      </c>
      <c r="C76" s="88" t="s">
        <v>38</v>
      </c>
      <c r="D76" s="88" t="s">
        <v>41</v>
      </c>
    </row>
    <row r="77" spans="1:18" x14ac:dyDescent="0.2">
      <c r="B77" s="377">
        <v>2004</v>
      </c>
      <c r="C77" s="379">
        <v>3.7999999999999999E-2</v>
      </c>
      <c r="D77" s="379">
        <v>5.2999999999999999E-2</v>
      </c>
    </row>
    <row r="78" spans="1:18" x14ac:dyDescent="0.2">
      <c r="B78" s="377">
        <v>2005</v>
      </c>
      <c r="C78" s="379">
        <v>0.04</v>
      </c>
      <c r="D78" s="379">
        <v>5.2999999999999999E-2</v>
      </c>
      <c r="E78" s="375"/>
      <c r="F78" s="375"/>
      <c r="G78" s="375"/>
      <c r="H78" s="375"/>
      <c r="I78" s="375"/>
      <c r="J78" s="375"/>
      <c r="K78" s="375"/>
      <c r="L78" s="375"/>
      <c r="M78" s="375"/>
      <c r="N78" s="375"/>
      <c r="O78" s="375"/>
      <c r="P78" s="375"/>
      <c r="Q78" s="376"/>
      <c r="R78" s="376"/>
    </row>
    <row r="79" spans="1:18" x14ac:dyDescent="0.2">
      <c r="B79" s="377">
        <v>2006</v>
      </c>
      <c r="C79" s="379">
        <v>0.04</v>
      </c>
      <c r="D79" s="379">
        <v>5.2000000000000005E-2</v>
      </c>
      <c r="E79" s="375"/>
      <c r="F79" s="375"/>
      <c r="G79" s="375"/>
      <c r="H79" s="375"/>
      <c r="I79" s="375"/>
      <c r="J79" s="375"/>
      <c r="K79" s="375"/>
      <c r="L79" s="375"/>
      <c r="M79" s="375"/>
      <c r="N79" s="375"/>
      <c r="O79" s="375"/>
      <c r="P79" s="375"/>
      <c r="Q79" s="376"/>
      <c r="R79" s="376"/>
    </row>
    <row r="80" spans="1:18" x14ac:dyDescent="0.2">
      <c r="B80" s="377">
        <v>2007</v>
      </c>
      <c r="C80" s="379">
        <v>3.4000000000000002E-2</v>
      </c>
      <c r="D80" s="379">
        <v>4.7E-2</v>
      </c>
      <c r="E80" s="375"/>
      <c r="F80" s="375"/>
      <c r="G80" s="375"/>
      <c r="H80" s="375"/>
      <c r="I80" s="375"/>
      <c r="J80" s="375"/>
      <c r="K80" s="375"/>
      <c r="L80" s="375"/>
      <c r="M80" s="375"/>
      <c r="N80" s="375"/>
      <c r="O80" s="375"/>
      <c r="P80" s="375"/>
      <c r="Q80" s="376"/>
      <c r="R80" s="376"/>
    </row>
    <row r="81" spans="2:18" x14ac:dyDescent="0.2">
      <c r="B81" s="377">
        <v>2008</v>
      </c>
      <c r="C81" s="379">
        <v>3.7000000000000005E-2</v>
      </c>
      <c r="D81" s="379">
        <v>4.9000000000000002E-2</v>
      </c>
      <c r="E81" s="375"/>
      <c r="F81" s="375"/>
      <c r="G81" s="375"/>
      <c r="H81" s="375"/>
      <c r="I81" s="375"/>
      <c r="J81" s="375"/>
      <c r="K81" s="375"/>
      <c r="L81" s="375"/>
      <c r="M81" s="375"/>
      <c r="N81" s="375"/>
      <c r="O81" s="375"/>
      <c r="P81" s="375"/>
      <c r="Q81" s="376"/>
      <c r="R81" s="376"/>
    </row>
    <row r="82" spans="2:18" x14ac:dyDescent="0.2">
      <c r="B82" s="377">
        <v>2009</v>
      </c>
      <c r="C82" s="379">
        <v>4.4000000000000004E-2</v>
      </c>
      <c r="D82" s="379">
        <v>6.9000000000000006E-2</v>
      </c>
      <c r="E82" s="375"/>
      <c r="F82" s="375"/>
      <c r="G82" s="375"/>
      <c r="H82" s="375"/>
      <c r="I82" s="375"/>
      <c r="J82" s="375"/>
      <c r="K82" s="375"/>
      <c r="L82" s="375"/>
      <c r="M82" s="375"/>
      <c r="N82" s="375"/>
      <c r="O82" s="375"/>
      <c r="P82" s="375"/>
      <c r="Q82" s="376"/>
      <c r="R82" s="376"/>
    </row>
    <row r="83" spans="2:18" x14ac:dyDescent="0.2">
      <c r="B83" s="377">
        <v>2010</v>
      </c>
      <c r="C83" s="379">
        <v>4.5999999999999999E-2</v>
      </c>
      <c r="D83" s="379">
        <v>7.6999999999999999E-2</v>
      </c>
      <c r="E83" s="375"/>
      <c r="F83" s="375"/>
      <c r="G83" s="375"/>
      <c r="H83" s="375"/>
      <c r="I83" s="375"/>
      <c r="J83" s="375"/>
      <c r="K83" s="375"/>
      <c r="L83" s="375"/>
      <c r="M83" s="375"/>
      <c r="N83" s="375"/>
      <c r="O83" s="375"/>
      <c r="P83" s="375"/>
      <c r="Q83" s="376"/>
      <c r="R83" s="376"/>
    </row>
    <row r="84" spans="2:18" x14ac:dyDescent="0.2">
      <c r="B84" s="377">
        <v>2011</v>
      </c>
      <c r="C84" s="379">
        <v>5.2999999999999999E-2</v>
      </c>
      <c r="D84" s="379">
        <v>8.199999999999999E-2</v>
      </c>
      <c r="E84" s="375"/>
      <c r="F84" s="375"/>
      <c r="G84" s="375"/>
      <c r="H84" s="375"/>
      <c r="I84" s="375"/>
      <c r="J84" s="375"/>
      <c r="K84" s="375"/>
      <c r="L84" s="375"/>
      <c r="M84" s="375"/>
      <c r="N84" s="375"/>
      <c r="O84" s="375"/>
      <c r="P84" s="375"/>
      <c r="Q84" s="376"/>
      <c r="R84" s="376"/>
    </row>
    <row r="85" spans="2:18" x14ac:dyDescent="0.2">
      <c r="B85" s="377">
        <v>2012</v>
      </c>
      <c r="C85" s="379">
        <v>4.8000000000000001E-2</v>
      </c>
      <c r="D85" s="379">
        <v>0.08</v>
      </c>
      <c r="E85" s="375"/>
      <c r="F85" s="375"/>
      <c r="G85" s="375"/>
      <c r="H85" s="375"/>
      <c r="I85" s="375"/>
      <c r="J85" s="375"/>
      <c r="K85" s="375"/>
      <c r="L85" s="375"/>
      <c r="M85" s="375"/>
      <c r="N85" s="375"/>
      <c r="O85" s="375"/>
      <c r="P85" s="375"/>
      <c r="Q85" s="376"/>
      <c r="R85" s="376"/>
    </row>
    <row r="86" spans="2:18" x14ac:dyDescent="0.2">
      <c r="B86" s="377">
        <v>2013</v>
      </c>
      <c r="C86" s="379">
        <v>4.8000000000000001E-2</v>
      </c>
      <c r="D86" s="379">
        <v>7.6999999999999999E-2</v>
      </c>
      <c r="E86" s="375"/>
      <c r="F86" s="375"/>
      <c r="G86" s="375"/>
      <c r="H86" s="375"/>
      <c r="I86" s="375"/>
      <c r="J86" s="375"/>
      <c r="K86" s="375"/>
      <c r="L86" s="375"/>
      <c r="M86" s="375"/>
      <c r="N86" s="375"/>
      <c r="O86" s="375"/>
      <c r="P86" s="375"/>
      <c r="Q86" s="376"/>
      <c r="R86" s="376"/>
    </row>
    <row r="87" spans="2:18" x14ac:dyDescent="0.2">
      <c r="B87" s="377">
        <v>2014</v>
      </c>
      <c r="C87" s="379">
        <v>4.4999999999999998E-2</v>
      </c>
      <c r="D87" s="379">
        <v>6.2E-2</v>
      </c>
      <c r="E87" s="375"/>
      <c r="F87" s="375"/>
      <c r="G87" s="375"/>
      <c r="H87" s="375"/>
      <c r="I87" s="375"/>
      <c r="J87" s="375"/>
      <c r="K87" s="375"/>
      <c r="L87" s="375"/>
      <c r="M87" s="375"/>
      <c r="N87" s="375"/>
      <c r="O87" s="375"/>
      <c r="P87" s="375"/>
      <c r="Q87" s="376"/>
      <c r="R87" s="376"/>
    </row>
    <row r="88" spans="2:18" x14ac:dyDescent="0.2">
      <c r="B88" s="377">
        <v>2015</v>
      </c>
      <c r="C88" s="379">
        <v>0.04</v>
      </c>
      <c r="D88" s="379">
        <v>5.7999999999999996E-2</v>
      </c>
      <c r="E88" s="375"/>
      <c r="F88" s="375"/>
      <c r="G88" s="375"/>
      <c r="H88" s="375"/>
      <c r="I88" s="375"/>
      <c r="J88" s="375"/>
      <c r="K88" s="375"/>
      <c r="L88" s="375"/>
      <c r="M88" s="375"/>
      <c r="N88" s="375"/>
      <c r="O88" s="375"/>
      <c r="P88" s="375"/>
      <c r="Q88" s="376"/>
      <c r="R88" s="376"/>
    </row>
    <row r="89" spans="2:18" x14ac:dyDescent="0.2">
      <c r="B89" s="377">
        <v>2016</v>
      </c>
      <c r="C89" s="379">
        <v>4.0999999999999995E-2</v>
      </c>
      <c r="D89" s="379">
        <v>4.8000000000000001E-2</v>
      </c>
      <c r="E89" s="375"/>
      <c r="F89" s="375"/>
      <c r="G89" s="375"/>
      <c r="H89" s="375"/>
      <c r="I89" s="375"/>
      <c r="J89" s="375"/>
      <c r="K89" s="375"/>
      <c r="L89" s="375"/>
      <c r="M89" s="375"/>
      <c r="N89" s="375"/>
      <c r="O89" s="375"/>
      <c r="P89" s="375"/>
      <c r="Q89" s="376"/>
      <c r="R89" s="376"/>
    </row>
    <row r="90" spans="2:18" x14ac:dyDescent="0.2">
      <c r="B90" s="377">
        <v>2017</v>
      </c>
      <c r="C90" s="379">
        <v>3.7999999999999999E-2</v>
      </c>
      <c r="D90" s="379">
        <v>4.0999999999999995E-2</v>
      </c>
      <c r="E90" s="375"/>
      <c r="F90" s="375"/>
      <c r="G90" s="375"/>
      <c r="H90" s="375"/>
      <c r="I90" s="375"/>
      <c r="J90" s="375"/>
      <c r="K90" s="375"/>
      <c r="L90" s="375"/>
      <c r="M90" s="375"/>
      <c r="N90" s="375"/>
      <c r="O90" s="375"/>
      <c r="P90" s="375"/>
      <c r="Q90" s="376"/>
      <c r="R90" s="376"/>
    </row>
    <row r="91" spans="2:18" x14ac:dyDescent="0.2">
      <c r="B91" s="377">
        <v>2018</v>
      </c>
      <c r="C91" s="379">
        <v>3.7000000000000005E-2</v>
      </c>
      <c r="D91" s="379">
        <v>4.2999999999999997E-2</v>
      </c>
      <c r="E91" s="375"/>
      <c r="F91" s="375"/>
      <c r="G91" s="375"/>
      <c r="H91" s="375"/>
      <c r="I91" s="375"/>
      <c r="J91" s="375"/>
      <c r="K91" s="375"/>
      <c r="L91" s="375"/>
      <c r="M91" s="375"/>
      <c r="N91" s="375"/>
      <c r="O91" s="375"/>
      <c r="P91" s="375"/>
      <c r="Q91" s="376"/>
      <c r="R91" s="376"/>
    </row>
    <row r="92" spans="2:18" x14ac:dyDescent="0.2">
      <c r="B92" s="377">
        <v>2019</v>
      </c>
      <c r="C92" s="379">
        <v>3.2000000000000001E-2</v>
      </c>
      <c r="D92" s="379">
        <v>3.5000000000000003E-2</v>
      </c>
      <c r="E92" s="375"/>
      <c r="F92" s="375"/>
      <c r="G92" s="375"/>
      <c r="H92" s="375"/>
      <c r="I92" s="375"/>
      <c r="J92" s="375"/>
      <c r="K92" s="375"/>
      <c r="L92" s="375"/>
      <c r="M92" s="375"/>
      <c r="N92" s="375"/>
      <c r="O92" s="375"/>
      <c r="P92" s="375"/>
      <c r="Q92" s="376"/>
      <c r="R92" s="376"/>
    </row>
    <row r="93" spans="2:18" x14ac:dyDescent="0.2">
      <c r="B93" s="377">
        <v>2020</v>
      </c>
      <c r="C93" s="379">
        <v>3.7000000000000005E-2</v>
      </c>
      <c r="D93" s="379">
        <v>4.2999999999999997E-2</v>
      </c>
      <c r="E93" s="375"/>
      <c r="F93" s="375"/>
      <c r="G93" s="375"/>
      <c r="H93" s="375"/>
      <c r="I93" s="375"/>
      <c r="J93" s="375"/>
      <c r="K93" s="375"/>
      <c r="L93" s="375"/>
      <c r="M93" s="375"/>
      <c r="N93" s="375"/>
      <c r="O93" s="375"/>
      <c r="P93" s="375"/>
      <c r="Q93" s="376"/>
      <c r="R93" s="376"/>
    </row>
    <row r="94" spans="2:18" x14ac:dyDescent="0.2">
      <c r="B94" s="377">
        <v>2021</v>
      </c>
      <c r="C94" s="379">
        <v>3.6000000000000004E-2</v>
      </c>
      <c r="D94" s="379">
        <v>3.9E-2</v>
      </c>
      <c r="E94" s="375"/>
      <c r="F94" s="375"/>
      <c r="G94" s="375"/>
      <c r="H94" s="375"/>
      <c r="I94" s="375"/>
      <c r="J94" s="375"/>
      <c r="K94" s="375"/>
      <c r="L94" s="375"/>
      <c r="M94" s="375"/>
      <c r="N94" s="375"/>
      <c r="O94" s="375"/>
      <c r="P94" s="375"/>
      <c r="Q94" s="376"/>
      <c r="R94" s="376"/>
    </row>
    <row r="95" spans="2:18" ht="15" x14ac:dyDescent="0.25">
      <c r="B95" s="156" t="s">
        <v>340</v>
      </c>
      <c r="C95" s="381"/>
      <c r="D95" s="381"/>
      <c r="E95" s="375"/>
      <c r="F95" s="375"/>
      <c r="G95" s="375"/>
      <c r="H95" s="375"/>
      <c r="I95" s="375"/>
      <c r="J95" s="375"/>
      <c r="K95" s="375"/>
      <c r="L95" s="375"/>
      <c r="M95" s="375"/>
      <c r="N95" s="375"/>
      <c r="O95" s="375"/>
      <c r="P95" s="375"/>
      <c r="Q95" s="376"/>
      <c r="R95" s="376"/>
    </row>
    <row r="96" spans="2:18" ht="15" x14ac:dyDescent="0.25">
      <c r="B96" s="156"/>
      <c r="C96" s="381"/>
      <c r="D96" s="381"/>
      <c r="E96" s="375"/>
      <c r="F96" s="375"/>
      <c r="G96" s="375"/>
      <c r="H96" s="375"/>
      <c r="I96" s="375"/>
      <c r="J96" s="375"/>
      <c r="K96" s="375"/>
      <c r="L96" s="375"/>
      <c r="M96" s="375"/>
      <c r="N96" s="375"/>
      <c r="O96" s="375"/>
      <c r="P96" s="375"/>
      <c r="Q96" s="376"/>
      <c r="R96" s="376"/>
    </row>
    <row r="98" spans="1:18" ht="15" x14ac:dyDescent="0.25">
      <c r="B98" s="16" t="s">
        <v>896</v>
      </c>
      <c r="I98" s="158"/>
      <c r="J98" s="158"/>
      <c r="K98" s="158"/>
    </row>
    <row r="99" spans="1:18" x14ac:dyDescent="0.2">
      <c r="A99" s="340"/>
      <c r="B99" s="88" t="s">
        <v>578</v>
      </c>
      <c r="C99" s="88" t="s">
        <v>38</v>
      </c>
      <c r="D99" s="88" t="s">
        <v>41</v>
      </c>
      <c r="E99" s="88" t="s">
        <v>565</v>
      </c>
      <c r="F99" s="88" t="s">
        <v>566</v>
      </c>
    </row>
    <row r="100" spans="1:18" x14ac:dyDescent="0.2">
      <c r="B100" s="377">
        <v>2004</v>
      </c>
      <c r="C100" s="211" cm="1">
        <f t="array" ref="C100:C117">TRANSPOSE([5]Table_1_3_2!$C$8:$T$8)</f>
        <v>12100</v>
      </c>
      <c r="D100" s="211" cm="1">
        <f t="array" ref="D100:D117">TRANSPOSE([5]Table_1_3_2!$C$7:$T$7)</f>
        <v>765200</v>
      </c>
      <c r="E100" s="211"/>
      <c r="F100" s="211"/>
    </row>
    <row r="101" spans="1:18" x14ac:dyDescent="0.2">
      <c r="B101" s="377">
        <v>2005</v>
      </c>
      <c r="C101" s="211">
        <v>12400</v>
      </c>
      <c r="D101" s="211">
        <v>758700</v>
      </c>
      <c r="E101" s="379">
        <f>(C101-C100)/C100</f>
        <v>2.4793388429752067E-2</v>
      </c>
      <c r="F101" s="379">
        <f>(D101-D100)/D100</f>
        <v>-8.4945112388917932E-3</v>
      </c>
      <c r="G101" s="375"/>
      <c r="H101" s="375"/>
      <c r="I101" s="375"/>
      <c r="J101" s="375"/>
      <c r="K101" s="375"/>
      <c r="L101" s="375"/>
      <c r="M101" s="375"/>
      <c r="N101" s="375"/>
      <c r="O101" s="375"/>
      <c r="P101" s="375"/>
      <c r="Q101" s="376"/>
      <c r="R101" s="376"/>
    </row>
    <row r="102" spans="1:18" x14ac:dyDescent="0.2">
      <c r="B102" s="377">
        <v>2006</v>
      </c>
      <c r="C102" s="211">
        <v>11700</v>
      </c>
      <c r="D102" s="211">
        <v>739200</v>
      </c>
      <c r="E102" s="379">
        <f t="shared" ref="E102:E117" si="4">(C102-C101)/C101</f>
        <v>-5.6451612903225805E-2</v>
      </c>
      <c r="F102" s="379">
        <f t="shared" ref="F102:F117" si="5">(D102-D101)/D101</f>
        <v>-2.5701858442071967E-2</v>
      </c>
      <c r="G102" s="375"/>
      <c r="H102" s="375"/>
      <c r="I102" s="375"/>
      <c r="J102" s="375"/>
      <c r="K102" s="375"/>
      <c r="L102" s="375"/>
      <c r="M102" s="375"/>
      <c r="N102" s="375"/>
      <c r="O102" s="375"/>
      <c r="P102" s="375"/>
      <c r="Q102" s="376"/>
      <c r="R102" s="376"/>
    </row>
    <row r="103" spans="1:18" x14ac:dyDescent="0.2">
      <c r="B103" s="377">
        <v>2007</v>
      </c>
      <c r="C103" s="211">
        <v>11500</v>
      </c>
      <c r="D103" s="211">
        <v>753700</v>
      </c>
      <c r="E103" s="379">
        <f t="shared" si="4"/>
        <v>-1.7094017094017096E-2</v>
      </c>
      <c r="F103" s="379">
        <f t="shared" si="5"/>
        <v>1.9615800865800864E-2</v>
      </c>
      <c r="G103" s="375"/>
      <c r="H103" s="375"/>
      <c r="I103" s="375"/>
      <c r="J103" s="375"/>
      <c r="K103" s="375"/>
      <c r="L103" s="375"/>
      <c r="M103" s="375"/>
      <c r="N103" s="375"/>
      <c r="O103" s="375"/>
      <c r="P103" s="375"/>
      <c r="Q103" s="376"/>
      <c r="R103" s="376"/>
    </row>
    <row r="104" spans="1:18" x14ac:dyDescent="0.2">
      <c r="B104" s="377">
        <v>2008</v>
      </c>
      <c r="C104" s="211">
        <v>10200</v>
      </c>
      <c r="D104" s="211">
        <v>764300</v>
      </c>
      <c r="E104" s="379">
        <f t="shared" si="4"/>
        <v>-0.11304347826086956</v>
      </c>
      <c r="F104" s="379">
        <f t="shared" si="5"/>
        <v>1.4063951174207244E-2</v>
      </c>
      <c r="G104" s="375"/>
      <c r="H104" s="375"/>
      <c r="I104" s="375"/>
      <c r="J104" s="375"/>
      <c r="K104" s="375"/>
      <c r="L104" s="375"/>
      <c r="M104" s="375"/>
      <c r="N104" s="375"/>
      <c r="O104" s="375"/>
      <c r="P104" s="375"/>
      <c r="Q104" s="376"/>
      <c r="R104" s="376"/>
    </row>
    <row r="105" spans="1:18" x14ac:dyDescent="0.2">
      <c r="B105" s="377">
        <v>2009</v>
      </c>
      <c r="C105" s="211">
        <v>10500</v>
      </c>
      <c r="D105" s="211">
        <v>766800</v>
      </c>
      <c r="E105" s="379">
        <f t="shared" si="4"/>
        <v>2.9411764705882353E-2</v>
      </c>
      <c r="F105" s="379">
        <f t="shared" si="5"/>
        <v>3.2709668978149939E-3</v>
      </c>
      <c r="G105" s="375"/>
      <c r="H105" s="375"/>
      <c r="I105" s="375"/>
      <c r="J105" s="375"/>
      <c r="K105" s="375"/>
      <c r="L105" s="375"/>
      <c r="M105" s="375"/>
      <c r="N105" s="375"/>
      <c r="O105" s="375"/>
      <c r="P105" s="375"/>
      <c r="Q105" s="376"/>
      <c r="R105" s="376"/>
    </row>
    <row r="106" spans="1:18" x14ac:dyDescent="0.2">
      <c r="B106" s="377">
        <v>2010</v>
      </c>
      <c r="C106" s="211">
        <v>10300</v>
      </c>
      <c r="D106" s="211">
        <v>784600</v>
      </c>
      <c r="E106" s="379">
        <f t="shared" si="4"/>
        <v>-1.9047619047619049E-2</v>
      </c>
      <c r="F106" s="379">
        <f t="shared" si="5"/>
        <v>2.3213354199269693E-2</v>
      </c>
      <c r="G106" s="375"/>
      <c r="H106" s="375"/>
      <c r="I106" s="375"/>
      <c r="J106" s="375"/>
      <c r="K106" s="375"/>
      <c r="L106" s="375"/>
      <c r="M106" s="375"/>
      <c r="N106" s="375"/>
      <c r="O106" s="375"/>
      <c r="P106" s="375"/>
      <c r="Q106" s="376"/>
      <c r="R106" s="376"/>
    </row>
    <row r="107" spans="1:18" x14ac:dyDescent="0.2">
      <c r="B107" s="377">
        <v>2011</v>
      </c>
      <c r="C107" s="211">
        <v>10500</v>
      </c>
      <c r="D107" s="211">
        <v>794600</v>
      </c>
      <c r="E107" s="379">
        <f t="shared" si="4"/>
        <v>1.9417475728155338E-2</v>
      </c>
      <c r="F107" s="379">
        <f t="shared" si="5"/>
        <v>1.274534794799898E-2</v>
      </c>
      <c r="G107" s="375"/>
      <c r="H107" s="375"/>
      <c r="I107" s="375"/>
      <c r="J107" s="375"/>
      <c r="K107" s="375"/>
      <c r="L107" s="375"/>
      <c r="M107" s="375"/>
      <c r="N107" s="375"/>
      <c r="O107" s="375"/>
      <c r="P107" s="375"/>
      <c r="Q107" s="376"/>
      <c r="R107" s="376"/>
    </row>
    <row r="108" spans="1:18" x14ac:dyDescent="0.2">
      <c r="B108" s="377">
        <v>2012</v>
      </c>
      <c r="C108" s="211">
        <v>10600</v>
      </c>
      <c r="D108" s="211">
        <v>793900</v>
      </c>
      <c r="E108" s="379">
        <f t="shared" si="4"/>
        <v>9.5238095238095247E-3</v>
      </c>
      <c r="F108" s="379">
        <f t="shared" si="5"/>
        <v>-8.8094638811980872E-4</v>
      </c>
      <c r="G108" s="375"/>
      <c r="H108" s="375"/>
      <c r="I108" s="375"/>
      <c r="J108" s="375"/>
      <c r="K108" s="375"/>
      <c r="L108" s="375"/>
      <c r="M108" s="375"/>
      <c r="N108" s="375"/>
      <c r="O108" s="375"/>
      <c r="P108" s="375"/>
      <c r="Q108" s="376"/>
      <c r="R108" s="376"/>
    </row>
    <row r="109" spans="1:18" x14ac:dyDescent="0.2">
      <c r="B109" s="377">
        <v>2013</v>
      </c>
      <c r="C109" s="211">
        <v>9800</v>
      </c>
      <c r="D109" s="211">
        <v>790300</v>
      </c>
      <c r="E109" s="379">
        <f t="shared" si="4"/>
        <v>-7.5471698113207544E-2</v>
      </c>
      <c r="F109" s="379">
        <f t="shared" si="5"/>
        <v>-4.5345761430910696E-3</v>
      </c>
      <c r="G109" s="375"/>
      <c r="H109" s="375"/>
      <c r="I109" s="375"/>
      <c r="J109" s="375"/>
      <c r="K109" s="375"/>
      <c r="L109" s="375"/>
      <c r="M109" s="375"/>
      <c r="N109" s="375"/>
      <c r="O109" s="375"/>
      <c r="P109" s="375"/>
      <c r="Q109" s="376"/>
      <c r="R109" s="376"/>
    </row>
    <row r="110" spans="1:18" x14ac:dyDescent="0.2">
      <c r="B110" s="377">
        <v>2014</v>
      </c>
      <c r="C110" s="211">
        <v>10800</v>
      </c>
      <c r="D110" s="211">
        <v>769300</v>
      </c>
      <c r="E110" s="379">
        <f t="shared" si="4"/>
        <v>0.10204081632653061</v>
      </c>
      <c r="F110" s="379">
        <f t="shared" si="5"/>
        <v>-2.6572187776793623E-2</v>
      </c>
      <c r="G110" s="375"/>
      <c r="H110" s="375"/>
      <c r="I110" s="375"/>
      <c r="J110" s="375"/>
      <c r="K110" s="375"/>
      <c r="L110" s="375"/>
      <c r="M110" s="375"/>
      <c r="N110" s="375"/>
      <c r="O110" s="375"/>
      <c r="P110" s="375"/>
      <c r="Q110" s="376"/>
      <c r="R110" s="376"/>
    </row>
    <row r="111" spans="1:18" x14ac:dyDescent="0.2">
      <c r="B111" s="377">
        <v>2015</v>
      </c>
      <c r="C111" s="211">
        <v>13700</v>
      </c>
      <c r="D111" s="211">
        <v>764000</v>
      </c>
      <c r="E111" s="379">
        <f t="shared" si="4"/>
        <v>0.26851851851851855</v>
      </c>
      <c r="F111" s="379">
        <f t="shared" si="5"/>
        <v>-6.8893799558039778E-3</v>
      </c>
      <c r="G111" s="375"/>
      <c r="H111" s="375"/>
      <c r="I111" s="375"/>
      <c r="J111" s="375"/>
      <c r="K111" s="375"/>
      <c r="L111" s="375"/>
      <c r="M111" s="375"/>
      <c r="N111" s="375"/>
      <c r="O111" s="375"/>
      <c r="P111" s="375"/>
      <c r="Q111" s="376"/>
      <c r="R111" s="376"/>
    </row>
    <row r="112" spans="1:18" x14ac:dyDescent="0.2">
      <c r="B112" s="377">
        <v>2016</v>
      </c>
      <c r="C112" s="211">
        <v>12100</v>
      </c>
      <c r="D112" s="211">
        <v>799400</v>
      </c>
      <c r="E112" s="379">
        <f t="shared" si="4"/>
        <v>-0.11678832116788321</v>
      </c>
      <c r="F112" s="379">
        <f t="shared" si="5"/>
        <v>4.6335078534031411E-2</v>
      </c>
      <c r="G112" s="375"/>
      <c r="H112" s="375"/>
      <c r="I112" s="375"/>
      <c r="J112" s="375"/>
      <c r="K112" s="375"/>
      <c r="L112" s="375"/>
      <c r="M112" s="375"/>
      <c r="N112" s="375"/>
      <c r="O112" s="375"/>
      <c r="P112" s="375"/>
      <c r="Q112" s="376"/>
      <c r="R112" s="376"/>
    </row>
    <row r="113" spans="1:18" x14ac:dyDescent="0.2">
      <c r="B113" s="377">
        <v>2017</v>
      </c>
      <c r="C113" s="211">
        <v>12300</v>
      </c>
      <c r="D113" s="211">
        <v>776500</v>
      </c>
      <c r="E113" s="379">
        <f t="shared" si="4"/>
        <v>1.6528925619834711E-2</v>
      </c>
      <c r="F113" s="379">
        <f t="shared" si="5"/>
        <v>-2.8646484863647736E-2</v>
      </c>
      <c r="G113" s="375"/>
      <c r="H113" s="375"/>
      <c r="I113" s="375"/>
      <c r="J113" s="375"/>
      <c r="K113" s="375"/>
      <c r="L113" s="375"/>
      <c r="M113" s="375"/>
      <c r="N113" s="375"/>
      <c r="O113" s="375"/>
      <c r="P113" s="375"/>
      <c r="Q113" s="376"/>
      <c r="R113" s="376"/>
    </row>
    <row r="114" spans="1:18" x14ac:dyDescent="0.2">
      <c r="B114" s="377">
        <v>2018</v>
      </c>
      <c r="C114" s="211">
        <v>13500</v>
      </c>
      <c r="D114" s="211">
        <v>777600</v>
      </c>
      <c r="E114" s="379">
        <f t="shared" si="4"/>
        <v>9.7560975609756101E-2</v>
      </c>
      <c r="F114" s="379">
        <f t="shared" si="5"/>
        <v>1.416613007083065E-3</v>
      </c>
      <c r="G114" s="375"/>
      <c r="H114" s="375"/>
      <c r="I114" s="375"/>
      <c r="J114" s="375"/>
      <c r="K114" s="375"/>
      <c r="L114" s="375"/>
      <c r="M114" s="375"/>
      <c r="N114" s="375"/>
      <c r="O114" s="375"/>
      <c r="P114" s="375"/>
      <c r="Q114" s="376"/>
      <c r="R114" s="376"/>
    </row>
    <row r="115" spans="1:18" x14ac:dyDescent="0.2">
      <c r="B115" s="377">
        <v>2019</v>
      </c>
      <c r="C115" s="211">
        <v>13100</v>
      </c>
      <c r="D115" s="211">
        <v>772800</v>
      </c>
      <c r="E115" s="379">
        <f t="shared" si="4"/>
        <v>-2.9629629629629631E-2</v>
      </c>
      <c r="F115" s="379">
        <f t="shared" si="5"/>
        <v>-6.1728395061728392E-3</v>
      </c>
      <c r="G115" s="375"/>
      <c r="H115" s="375"/>
      <c r="I115" s="375"/>
      <c r="J115" s="375"/>
      <c r="K115" s="375"/>
      <c r="L115" s="375"/>
      <c r="M115" s="375"/>
      <c r="N115" s="375"/>
      <c r="O115" s="375"/>
      <c r="P115" s="375"/>
      <c r="Q115" s="376"/>
      <c r="R115" s="376"/>
    </row>
    <row r="116" spans="1:18" x14ac:dyDescent="0.2">
      <c r="B116" s="377">
        <v>2020</v>
      </c>
      <c r="C116" s="211">
        <v>13100</v>
      </c>
      <c r="D116" s="211">
        <v>797300</v>
      </c>
      <c r="E116" s="379">
        <f t="shared" si="4"/>
        <v>0</v>
      </c>
      <c r="F116" s="379">
        <f t="shared" si="5"/>
        <v>3.170289855072464E-2</v>
      </c>
      <c r="G116" s="375"/>
      <c r="H116" s="375"/>
      <c r="I116" s="375"/>
      <c r="J116" s="375"/>
      <c r="K116" s="375"/>
      <c r="L116" s="375"/>
      <c r="M116" s="375"/>
      <c r="N116" s="375"/>
      <c r="O116" s="375"/>
      <c r="P116" s="375"/>
      <c r="Q116" s="376"/>
      <c r="R116" s="376"/>
    </row>
    <row r="117" spans="1:18" x14ac:dyDescent="0.2">
      <c r="B117" s="377">
        <v>2021</v>
      </c>
      <c r="C117" s="211">
        <v>14800</v>
      </c>
      <c r="D117" s="211">
        <v>815200</v>
      </c>
      <c r="E117" s="379">
        <f t="shared" si="4"/>
        <v>0.12977099236641221</v>
      </c>
      <c r="F117" s="379">
        <f t="shared" si="5"/>
        <v>2.2450771353317446E-2</v>
      </c>
      <c r="G117" s="375"/>
      <c r="H117" s="375"/>
      <c r="I117" s="375"/>
      <c r="J117" s="375"/>
      <c r="K117" s="375"/>
      <c r="L117" s="375"/>
      <c r="M117" s="375"/>
      <c r="N117" s="375"/>
      <c r="O117" s="375"/>
      <c r="P117" s="375"/>
      <c r="Q117" s="376"/>
      <c r="R117" s="376"/>
    </row>
    <row r="118" spans="1:18" ht="15" x14ac:dyDescent="0.25">
      <c r="B118" s="156" t="s">
        <v>340</v>
      </c>
      <c r="C118" s="378"/>
      <c r="D118" s="378"/>
    </row>
    <row r="119" spans="1:18" x14ac:dyDescent="0.2">
      <c r="I119" s="158"/>
      <c r="J119" s="158"/>
      <c r="K119" s="158"/>
    </row>
    <row r="120" spans="1:18" x14ac:dyDescent="0.2">
      <c r="I120" s="332"/>
      <c r="J120" s="332"/>
      <c r="K120" s="332"/>
    </row>
    <row r="121" spans="1:18" x14ac:dyDescent="0.2">
      <c r="I121" s="332"/>
      <c r="J121" s="332"/>
      <c r="K121" s="332"/>
    </row>
    <row r="122" spans="1:18" ht="15" x14ac:dyDescent="0.25">
      <c r="B122" s="16" t="s">
        <v>688</v>
      </c>
    </row>
    <row r="123" spans="1:18" x14ac:dyDescent="0.2">
      <c r="A123" s="340"/>
      <c r="B123" s="88" t="s">
        <v>578</v>
      </c>
      <c r="C123" s="88" t="s">
        <v>38</v>
      </c>
      <c r="D123" s="88" t="s">
        <v>41</v>
      </c>
    </row>
    <row r="124" spans="1:18" x14ac:dyDescent="0.2">
      <c r="B124" s="377">
        <v>2004</v>
      </c>
      <c r="C124" s="379">
        <v>0.21600000000000003</v>
      </c>
      <c r="D124" s="379">
        <v>0.23300000000000001</v>
      </c>
    </row>
    <row r="125" spans="1:18" x14ac:dyDescent="0.2">
      <c r="B125" s="377">
        <v>2005</v>
      </c>
      <c r="C125" s="379">
        <v>0.22</v>
      </c>
      <c r="D125" s="379">
        <v>0.22899999999999998</v>
      </c>
      <c r="E125" s="375"/>
      <c r="F125" s="375"/>
      <c r="G125" s="375"/>
      <c r="H125" s="375"/>
      <c r="I125" s="375"/>
      <c r="J125" s="375"/>
      <c r="K125" s="375"/>
      <c r="L125" s="375"/>
      <c r="M125" s="375"/>
      <c r="N125" s="375"/>
      <c r="O125" s="375"/>
      <c r="P125" s="375"/>
      <c r="Q125" s="376"/>
      <c r="R125" s="376"/>
    </row>
    <row r="126" spans="1:18" x14ac:dyDescent="0.2">
      <c r="B126" s="377">
        <v>2006</v>
      </c>
      <c r="C126" s="379">
        <v>0.20300000000000001</v>
      </c>
      <c r="D126" s="379">
        <v>0.222</v>
      </c>
      <c r="E126" s="375"/>
      <c r="F126" s="375"/>
      <c r="G126" s="375"/>
      <c r="H126" s="375"/>
      <c r="I126" s="375"/>
      <c r="J126" s="375"/>
      <c r="K126" s="375"/>
      <c r="L126" s="375"/>
      <c r="M126" s="375"/>
      <c r="N126" s="375"/>
      <c r="O126" s="375"/>
      <c r="P126" s="375"/>
      <c r="Q126" s="376"/>
      <c r="R126" s="376"/>
    </row>
    <row r="127" spans="1:18" x14ac:dyDescent="0.2">
      <c r="B127" s="377">
        <v>2007</v>
      </c>
      <c r="C127" s="379">
        <v>0.19800000000000001</v>
      </c>
      <c r="D127" s="379">
        <v>0.22399999999999998</v>
      </c>
      <c r="E127" s="375"/>
      <c r="F127" s="375"/>
      <c r="G127" s="375"/>
      <c r="H127" s="375"/>
      <c r="I127" s="375"/>
      <c r="J127" s="375"/>
      <c r="K127" s="375"/>
      <c r="L127" s="375"/>
      <c r="M127" s="375"/>
      <c r="N127" s="375"/>
      <c r="O127" s="375"/>
      <c r="P127" s="375"/>
      <c r="Q127" s="376"/>
      <c r="R127" s="376"/>
    </row>
    <row r="128" spans="1:18" x14ac:dyDescent="0.2">
      <c r="B128" s="377">
        <v>2008</v>
      </c>
      <c r="C128" s="379">
        <v>0.17300000000000001</v>
      </c>
      <c r="D128" s="379">
        <v>0.22600000000000001</v>
      </c>
      <c r="E128" s="375"/>
      <c r="F128" s="375"/>
      <c r="G128" s="375"/>
      <c r="H128" s="375"/>
      <c r="I128" s="375"/>
      <c r="J128" s="375"/>
      <c r="K128" s="375"/>
      <c r="L128" s="375"/>
      <c r="M128" s="375"/>
      <c r="N128" s="375"/>
      <c r="O128" s="375"/>
      <c r="P128" s="375"/>
      <c r="Q128" s="376"/>
      <c r="R128" s="376"/>
    </row>
    <row r="129" spans="2:18" x14ac:dyDescent="0.2">
      <c r="B129" s="377">
        <v>2009</v>
      </c>
      <c r="C129" s="379">
        <v>0.18</v>
      </c>
      <c r="D129" s="379">
        <v>0.22600000000000001</v>
      </c>
      <c r="E129" s="375"/>
      <c r="F129" s="375"/>
      <c r="G129" s="375"/>
      <c r="H129" s="375"/>
      <c r="I129" s="375"/>
      <c r="J129" s="375"/>
      <c r="K129" s="375"/>
      <c r="L129" s="375"/>
      <c r="M129" s="375"/>
      <c r="N129" s="375"/>
      <c r="O129" s="375"/>
      <c r="P129" s="375"/>
      <c r="Q129" s="376"/>
      <c r="R129" s="376"/>
    </row>
    <row r="130" spans="2:18" x14ac:dyDescent="0.2">
      <c r="B130" s="377">
        <v>2010</v>
      </c>
      <c r="C130" s="379">
        <v>0.17600000000000002</v>
      </c>
      <c r="D130" s="379">
        <v>0.23</v>
      </c>
      <c r="E130" s="375"/>
      <c r="F130" s="375"/>
      <c r="G130" s="375"/>
      <c r="H130" s="375"/>
      <c r="I130" s="375"/>
      <c r="J130" s="375"/>
      <c r="K130" s="375"/>
      <c r="L130" s="375"/>
      <c r="M130" s="375"/>
      <c r="N130" s="375"/>
      <c r="O130" s="375"/>
      <c r="P130" s="375"/>
      <c r="Q130" s="376"/>
      <c r="R130" s="376"/>
    </row>
    <row r="131" spans="2:18" x14ac:dyDescent="0.2">
      <c r="B131" s="377">
        <v>2011</v>
      </c>
      <c r="C131" s="379">
        <v>0.18100000000000002</v>
      </c>
      <c r="D131" s="379">
        <v>0.23100000000000001</v>
      </c>
      <c r="E131" s="375"/>
      <c r="F131" s="375"/>
      <c r="G131" s="375"/>
      <c r="H131" s="375"/>
      <c r="I131" s="375"/>
      <c r="J131" s="375"/>
      <c r="K131" s="375"/>
      <c r="L131" s="375"/>
      <c r="M131" s="375"/>
      <c r="N131" s="375"/>
      <c r="O131" s="375"/>
      <c r="P131" s="375"/>
      <c r="Q131" s="376"/>
      <c r="R131" s="376"/>
    </row>
    <row r="132" spans="2:18" x14ac:dyDescent="0.2">
      <c r="B132" s="377">
        <v>2012</v>
      </c>
      <c r="C132" s="379">
        <v>0.18899999999999997</v>
      </c>
      <c r="D132" s="379">
        <v>0.23199999999999998</v>
      </c>
      <c r="E132" s="375"/>
      <c r="F132" s="375"/>
      <c r="G132" s="375"/>
      <c r="H132" s="375"/>
      <c r="I132" s="375"/>
      <c r="J132" s="375"/>
      <c r="K132" s="375"/>
      <c r="L132" s="375"/>
      <c r="M132" s="375"/>
      <c r="N132" s="375"/>
      <c r="O132" s="375"/>
      <c r="P132" s="375"/>
      <c r="Q132" s="376"/>
      <c r="R132" s="376"/>
    </row>
    <row r="133" spans="2:18" x14ac:dyDescent="0.2">
      <c r="B133" s="377">
        <v>2013</v>
      </c>
      <c r="C133" s="379">
        <v>0.17</v>
      </c>
      <c r="D133" s="379">
        <v>0.23100000000000001</v>
      </c>
      <c r="E133" s="375"/>
      <c r="F133" s="375"/>
      <c r="G133" s="375"/>
      <c r="H133" s="375"/>
      <c r="I133" s="375"/>
      <c r="J133" s="375"/>
      <c r="K133" s="375"/>
      <c r="L133" s="375"/>
      <c r="M133" s="375"/>
      <c r="N133" s="375"/>
      <c r="O133" s="375"/>
      <c r="P133" s="375"/>
      <c r="Q133" s="376"/>
      <c r="R133" s="376"/>
    </row>
    <row r="134" spans="2:18" x14ac:dyDescent="0.2">
      <c r="B134" s="377">
        <v>2014</v>
      </c>
      <c r="C134" s="379">
        <v>0.188</v>
      </c>
      <c r="D134" s="379">
        <v>0.22500000000000001</v>
      </c>
      <c r="E134" s="375"/>
      <c r="F134" s="375"/>
      <c r="G134" s="375"/>
      <c r="H134" s="375"/>
      <c r="I134" s="375"/>
      <c r="J134" s="375"/>
      <c r="K134" s="375"/>
      <c r="L134" s="375"/>
      <c r="M134" s="375"/>
      <c r="N134" s="375"/>
      <c r="O134" s="375"/>
      <c r="P134" s="375"/>
      <c r="Q134" s="376"/>
      <c r="R134" s="376"/>
    </row>
    <row r="135" spans="2:18" x14ac:dyDescent="0.2">
      <c r="B135" s="377">
        <v>2015</v>
      </c>
      <c r="C135" s="379">
        <v>0.23399999999999999</v>
      </c>
      <c r="D135" s="379">
        <v>0.223</v>
      </c>
      <c r="E135" s="375"/>
      <c r="F135" s="375"/>
      <c r="G135" s="375"/>
      <c r="H135" s="375"/>
      <c r="I135" s="375"/>
      <c r="J135" s="375"/>
      <c r="K135" s="375"/>
      <c r="L135" s="375"/>
      <c r="M135" s="375"/>
      <c r="N135" s="375"/>
      <c r="O135" s="375"/>
      <c r="P135" s="375"/>
      <c r="Q135" s="376"/>
      <c r="R135" s="376"/>
    </row>
    <row r="136" spans="2:18" x14ac:dyDescent="0.2">
      <c r="B136" s="377">
        <v>2016</v>
      </c>
      <c r="C136" s="379">
        <v>0.20699999999999999</v>
      </c>
      <c r="D136" s="379">
        <v>0.23300000000000001</v>
      </c>
      <c r="E136" s="375"/>
      <c r="F136" s="375"/>
      <c r="G136" s="375"/>
      <c r="H136" s="375"/>
      <c r="I136" s="375"/>
      <c r="J136" s="375"/>
      <c r="K136" s="375"/>
      <c r="L136" s="375"/>
      <c r="M136" s="375"/>
      <c r="N136" s="375"/>
      <c r="O136" s="375"/>
      <c r="P136" s="375"/>
      <c r="Q136" s="376"/>
      <c r="R136" s="376"/>
    </row>
    <row r="137" spans="2:18" x14ac:dyDescent="0.2">
      <c r="B137" s="377">
        <v>2017</v>
      </c>
      <c r="C137" s="379">
        <v>0.21199999999999999</v>
      </c>
      <c r="D137" s="379">
        <v>0.22600000000000001</v>
      </c>
      <c r="E137" s="375"/>
      <c r="F137" s="375"/>
      <c r="G137" s="375"/>
      <c r="H137" s="375"/>
      <c r="I137" s="375"/>
      <c r="J137" s="375"/>
      <c r="K137" s="375"/>
      <c r="L137" s="375"/>
      <c r="M137" s="375"/>
      <c r="N137" s="375"/>
      <c r="O137" s="375"/>
      <c r="P137" s="375"/>
      <c r="Q137" s="376"/>
      <c r="R137" s="376"/>
    </row>
    <row r="138" spans="2:18" x14ac:dyDescent="0.2">
      <c r="B138" s="377">
        <v>2018</v>
      </c>
      <c r="C138" s="379">
        <v>0.22899999999999998</v>
      </c>
      <c r="D138" s="379">
        <v>0.22600000000000001</v>
      </c>
      <c r="E138" s="375"/>
      <c r="F138" s="375"/>
      <c r="G138" s="375"/>
      <c r="H138" s="375"/>
      <c r="I138" s="375"/>
      <c r="J138" s="375"/>
      <c r="K138" s="375"/>
      <c r="L138" s="375"/>
      <c r="M138" s="375"/>
      <c r="N138" s="375"/>
      <c r="O138" s="375"/>
      <c r="P138" s="375"/>
      <c r="Q138" s="376"/>
      <c r="R138" s="376"/>
    </row>
    <row r="139" spans="2:18" x14ac:dyDescent="0.2">
      <c r="B139" s="377">
        <v>2019</v>
      </c>
      <c r="C139" s="379">
        <v>0.221</v>
      </c>
      <c r="D139" s="379">
        <v>0.22500000000000001</v>
      </c>
      <c r="E139" s="375"/>
      <c r="F139" s="375"/>
      <c r="G139" s="375"/>
      <c r="H139" s="375"/>
      <c r="I139" s="375"/>
      <c r="J139" s="375"/>
      <c r="K139" s="375"/>
      <c r="L139" s="375"/>
      <c r="M139" s="375"/>
      <c r="N139" s="375"/>
      <c r="O139" s="375"/>
      <c r="P139" s="375"/>
      <c r="Q139" s="376"/>
      <c r="R139" s="376"/>
    </row>
    <row r="140" spans="2:18" x14ac:dyDescent="0.2">
      <c r="B140" s="377">
        <v>2020</v>
      </c>
      <c r="C140" s="379">
        <v>0.222</v>
      </c>
      <c r="D140" s="379">
        <v>0.23199999999999998</v>
      </c>
      <c r="E140" s="375"/>
      <c r="F140" s="375"/>
      <c r="G140" s="375"/>
      <c r="H140" s="375"/>
      <c r="I140" s="375"/>
      <c r="J140" s="375"/>
      <c r="K140" s="375"/>
      <c r="L140" s="375"/>
      <c r="M140" s="375"/>
      <c r="N140" s="375"/>
      <c r="O140" s="375"/>
      <c r="P140" s="375"/>
      <c r="Q140" s="376"/>
      <c r="R140" s="376"/>
    </row>
    <row r="141" spans="2:18" x14ac:dyDescent="0.2">
      <c r="B141" s="377">
        <v>2021</v>
      </c>
      <c r="C141" s="379">
        <v>0.247</v>
      </c>
      <c r="D141" s="379">
        <v>0.23800000000000002</v>
      </c>
      <c r="E141" s="375"/>
      <c r="F141" s="375"/>
      <c r="G141" s="375"/>
      <c r="H141" s="375"/>
      <c r="I141" s="375"/>
      <c r="J141" s="375"/>
      <c r="K141" s="375"/>
      <c r="L141" s="375"/>
      <c r="M141" s="375"/>
      <c r="N141" s="375"/>
      <c r="O141" s="375"/>
      <c r="P141" s="375"/>
      <c r="Q141" s="376"/>
      <c r="R141" s="376"/>
    </row>
    <row r="142" spans="2:18" x14ac:dyDescent="0.2">
      <c r="B142" s="453" t="s">
        <v>784</v>
      </c>
      <c r="C142" s="379">
        <f>(C117-C100)/C100</f>
        <v>0.2231404958677686</v>
      </c>
      <c r="D142" s="379"/>
      <c r="E142" s="375"/>
      <c r="F142" s="375"/>
      <c r="G142" s="375"/>
      <c r="H142" s="375"/>
      <c r="I142" s="375"/>
      <c r="J142" s="375"/>
      <c r="K142" s="375"/>
      <c r="L142" s="375"/>
      <c r="M142" s="375"/>
      <c r="N142" s="375"/>
      <c r="O142" s="375"/>
      <c r="P142" s="375"/>
      <c r="Q142" s="376"/>
      <c r="R142" s="376"/>
    </row>
    <row r="143" spans="2:18" ht="15" x14ac:dyDescent="0.25">
      <c r="B143" s="156" t="s">
        <v>340</v>
      </c>
      <c r="C143" s="381"/>
      <c r="D143" s="381"/>
      <c r="E143" s="375"/>
      <c r="F143" s="375"/>
      <c r="G143" s="375"/>
      <c r="H143" s="375"/>
      <c r="I143" s="375"/>
      <c r="J143" s="375"/>
      <c r="K143" s="375"/>
      <c r="L143" s="375"/>
      <c r="M143" s="375"/>
      <c r="N143" s="375"/>
      <c r="O143" s="375"/>
      <c r="P143" s="375"/>
      <c r="Q143" s="376"/>
      <c r="R143" s="376"/>
    </row>
    <row r="145" spans="1:10" ht="15" x14ac:dyDescent="0.25">
      <c r="B145" s="156"/>
    </row>
    <row r="146" spans="1:10" ht="15" x14ac:dyDescent="0.25">
      <c r="B146" s="16" t="s">
        <v>689</v>
      </c>
    </row>
    <row r="147" spans="1:10" ht="34.5" customHeight="1" x14ac:dyDescent="0.2">
      <c r="A147" s="340"/>
      <c r="B147" s="88" t="s">
        <v>762</v>
      </c>
      <c r="C147" s="329" t="s">
        <v>754</v>
      </c>
      <c r="D147" s="132" t="s">
        <v>755</v>
      </c>
      <c r="E147" s="132" t="s">
        <v>756</v>
      </c>
      <c r="F147" s="132" t="s">
        <v>757</v>
      </c>
      <c r="G147" s="132" t="s">
        <v>758</v>
      </c>
      <c r="H147" s="132" t="s">
        <v>759</v>
      </c>
      <c r="I147" s="132" t="s">
        <v>760</v>
      </c>
      <c r="J147" s="132" t="s">
        <v>761</v>
      </c>
    </row>
    <row r="148" spans="1:10" x14ac:dyDescent="0.2">
      <c r="B148" s="377">
        <v>2017</v>
      </c>
      <c r="C148" s="441">
        <v>970</v>
      </c>
      <c r="D148" s="441">
        <v>78695</v>
      </c>
      <c r="E148" s="442"/>
      <c r="F148" s="442"/>
      <c r="G148" s="443">
        <v>1.6</v>
      </c>
      <c r="H148" s="443">
        <v>2.2999999999999998</v>
      </c>
      <c r="I148" s="443">
        <v>0.2</v>
      </c>
      <c r="J148" s="443">
        <v>0</v>
      </c>
    </row>
    <row r="149" spans="1:10" x14ac:dyDescent="0.2">
      <c r="B149" s="377">
        <v>2018</v>
      </c>
      <c r="C149" s="441">
        <v>1090</v>
      </c>
      <c r="D149" s="441">
        <v>94255</v>
      </c>
      <c r="E149" s="442">
        <f t="shared" ref="E149:E152" si="6">(C149-C148)/C148</f>
        <v>0.12371134020618557</v>
      </c>
      <c r="F149" s="442">
        <f t="shared" ref="F149:F152" si="7">(D149-D148)/D148</f>
        <v>0.19772539551432747</v>
      </c>
      <c r="G149" s="443">
        <v>1.8</v>
      </c>
      <c r="H149" s="443">
        <v>2.7</v>
      </c>
      <c r="I149" s="443">
        <v>0.2</v>
      </c>
      <c r="J149" s="443">
        <v>0.4</v>
      </c>
    </row>
    <row r="150" spans="1:10" x14ac:dyDescent="0.2">
      <c r="B150" s="377">
        <v>2019</v>
      </c>
      <c r="C150" s="441">
        <v>1430</v>
      </c>
      <c r="D150" s="441">
        <v>110185</v>
      </c>
      <c r="E150" s="442">
        <f t="shared" si="6"/>
        <v>0.31192660550458717</v>
      </c>
      <c r="F150" s="442">
        <f t="shared" si="7"/>
        <v>0.16900960161264655</v>
      </c>
      <c r="G150" s="443">
        <v>2.4</v>
      </c>
      <c r="H150" s="443">
        <v>3.2</v>
      </c>
      <c r="I150" s="443">
        <v>0.6</v>
      </c>
      <c r="J150" s="443">
        <v>0.5</v>
      </c>
    </row>
    <row r="151" spans="1:10" x14ac:dyDescent="0.2">
      <c r="B151" s="377">
        <v>2020</v>
      </c>
      <c r="C151" s="441">
        <v>2920</v>
      </c>
      <c r="D151" s="441">
        <v>222020</v>
      </c>
      <c r="E151" s="442">
        <f t="shared" si="6"/>
        <v>1.0419580419580419</v>
      </c>
      <c r="F151" s="442">
        <f t="shared" si="7"/>
        <v>1.0149748150837228</v>
      </c>
      <c r="G151" s="443">
        <v>5</v>
      </c>
      <c r="H151" s="443">
        <v>6.3</v>
      </c>
      <c r="I151" s="443">
        <v>2.6</v>
      </c>
      <c r="J151" s="443">
        <v>3.2</v>
      </c>
    </row>
    <row r="152" spans="1:10" x14ac:dyDescent="0.2">
      <c r="B152" s="377">
        <v>2021</v>
      </c>
      <c r="C152" s="441">
        <v>2140</v>
      </c>
      <c r="D152" s="441">
        <v>159095</v>
      </c>
      <c r="E152" s="442">
        <f t="shared" si="6"/>
        <v>-0.26712328767123289</v>
      </c>
      <c r="F152" s="442">
        <f t="shared" si="7"/>
        <v>-0.28342041257544365</v>
      </c>
      <c r="G152" s="443">
        <v>3.7</v>
      </c>
      <c r="H152" s="443">
        <v>4.5999999999999996</v>
      </c>
      <c r="I152" s="443">
        <v>-1.2</v>
      </c>
      <c r="J152" s="443">
        <v>-1.7</v>
      </c>
    </row>
    <row r="153" spans="1:10" x14ac:dyDescent="0.2">
      <c r="B153" s="377">
        <v>2022</v>
      </c>
      <c r="C153" s="441">
        <v>1335</v>
      </c>
      <c r="D153" s="441">
        <v>109585</v>
      </c>
      <c r="E153" s="442">
        <f>(C153-C152)/C152</f>
        <v>-0.37616822429906543</v>
      </c>
      <c r="F153" s="442">
        <f>(D153-D152)/D152</f>
        <v>-0.31119771205883279</v>
      </c>
      <c r="G153" s="443">
        <v>2.2999999999999998</v>
      </c>
      <c r="H153" s="443">
        <v>3.1</v>
      </c>
      <c r="I153" s="443">
        <v>-0.9</v>
      </c>
      <c r="J153" s="443">
        <v>-0.9</v>
      </c>
    </row>
    <row r="154" spans="1:10" ht="15" x14ac:dyDescent="0.25">
      <c r="B154" s="156" t="s">
        <v>349</v>
      </c>
      <c r="H154" s="199"/>
    </row>
    <row r="155" spans="1:10" x14ac:dyDescent="0.2">
      <c r="B155" s="157"/>
      <c r="H155" s="199"/>
    </row>
    <row r="156" spans="1:10" ht="15" x14ac:dyDescent="0.25">
      <c r="B156" s="156"/>
    </row>
    <row r="157" spans="1:10" ht="15" x14ac:dyDescent="0.2">
      <c r="B157" s="122" t="s">
        <v>763</v>
      </c>
    </row>
    <row r="158" spans="1:10" ht="15" x14ac:dyDescent="0.2">
      <c r="A158" s="340"/>
      <c r="B158" s="119">
        <v>2018</v>
      </c>
      <c r="C158" s="196" t="s">
        <v>38</v>
      </c>
      <c r="D158" s="200" t="s">
        <v>41</v>
      </c>
      <c r="E158" s="149"/>
      <c r="F158" s="149"/>
    </row>
    <row r="159" spans="1:10" ht="15" x14ac:dyDescent="0.2">
      <c r="B159" s="42" t="s">
        <v>350</v>
      </c>
      <c r="C159" s="295">
        <v>45019</v>
      </c>
      <c r="D159" s="295">
        <v>52549</v>
      </c>
      <c r="E159" s="201"/>
      <c r="F159" s="201"/>
    </row>
    <row r="160" spans="1:10" ht="15" x14ac:dyDescent="0.2">
      <c r="B160" s="212" t="s">
        <v>351</v>
      </c>
      <c r="C160" s="433">
        <f>(C159-$D$159)/$D$159</f>
        <v>-0.14329482958762299</v>
      </c>
      <c r="D160" s="432"/>
      <c r="E160" s="197"/>
      <c r="F160" s="197"/>
    </row>
    <row r="161" spans="1:6" x14ac:dyDescent="0.2">
      <c r="B161" s="155" t="s">
        <v>352</v>
      </c>
      <c r="D161" s="71"/>
      <c r="E161" s="71"/>
      <c r="F161" s="71"/>
    </row>
    <row r="162" spans="1:6" x14ac:dyDescent="0.2">
      <c r="B162" s="72" t="s">
        <v>353</v>
      </c>
      <c r="D162" s="71"/>
      <c r="E162" s="71"/>
      <c r="F162" s="71"/>
    </row>
    <row r="163" spans="1:6" x14ac:dyDescent="0.2">
      <c r="D163" s="71"/>
      <c r="E163" s="71"/>
      <c r="F163" s="71"/>
    </row>
    <row r="164" spans="1:6" ht="15" x14ac:dyDescent="0.2">
      <c r="B164" s="122" t="s">
        <v>752</v>
      </c>
      <c r="D164" s="71"/>
      <c r="E164" s="71"/>
      <c r="F164" s="71"/>
    </row>
    <row r="165" spans="1:6" ht="15" x14ac:dyDescent="0.2">
      <c r="B165" s="119" t="s">
        <v>350</v>
      </c>
      <c r="C165" s="39" t="s">
        <v>38</v>
      </c>
      <c r="D165" s="39" t="s">
        <v>41</v>
      </c>
      <c r="E165" s="149"/>
      <c r="F165" s="149"/>
    </row>
    <row r="166" spans="1:6" ht="15" x14ac:dyDescent="0.2">
      <c r="A166" s="340"/>
      <c r="B166" s="134">
        <v>2008</v>
      </c>
      <c r="C166" s="295">
        <v>53240</v>
      </c>
      <c r="D166" s="295">
        <v>49874</v>
      </c>
      <c r="E166" s="202"/>
      <c r="F166" s="202"/>
    </row>
    <row r="167" spans="1:6" ht="15" x14ac:dyDescent="0.2">
      <c r="B167" s="134">
        <v>2009</v>
      </c>
      <c r="C167" s="295">
        <v>63518</v>
      </c>
      <c r="D167" s="295">
        <v>46085</v>
      </c>
      <c r="E167" s="202"/>
      <c r="F167" s="202"/>
    </row>
    <row r="168" spans="1:6" ht="15" x14ac:dyDescent="0.2">
      <c r="B168" s="134">
        <v>2010</v>
      </c>
      <c r="C168" s="295">
        <v>58275</v>
      </c>
      <c r="D168" s="295">
        <v>48502</v>
      </c>
      <c r="E168" s="202"/>
      <c r="F168" s="202"/>
    </row>
    <row r="169" spans="1:6" ht="15" x14ac:dyDescent="0.2">
      <c r="B169" s="134">
        <v>2011</v>
      </c>
      <c r="C169" s="295">
        <v>58644</v>
      </c>
      <c r="D169" s="295">
        <v>50690</v>
      </c>
      <c r="E169" s="202"/>
      <c r="F169" s="202"/>
    </row>
    <row r="170" spans="1:6" ht="15" x14ac:dyDescent="0.2">
      <c r="B170" s="134">
        <v>2012</v>
      </c>
      <c r="C170" s="295">
        <v>54584</v>
      </c>
      <c r="D170" s="295">
        <v>50403</v>
      </c>
      <c r="E170" s="202"/>
      <c r="F170" s="202"/>
    </row>
    <row r="171" spans="1:6" ht="15" x14ac:dyDescent="0.2">
      <c r="B171" s="134">
        <v>2013</v>
      </c>
      <c r="C171" s="295">
        <v>57510</v>
      </c>
      <c r="D171" s="295">
        <v>53803</v>
      </c>
      <c r="E171" s="202"/>
      <c r="F171" s="202"/>
    </row>
    <row r="172" spans="1:6" ht="15" x14ac:dyDescent="0.2">
      <c r="B172" s="134">
        <v>2014</v>
      </c>
      <c r="C172" s="295">
        <v>35955</v>
      </c>
      <c r="D172" s="295">
        <v>50163</v>
      </c>
      <c r="E172" s="202"/>
      <c r="F172" s="202"/>
    </row>
    <row r="173" spans="1:6" ht="15" x14ac:dyDescent="0.2">
      <c r="B173" s="134">
        <v>2015</v>
      </c>
      <c r="C173" s="295">
        <v>41025</v>
      </c>
      <c r="D173" s="295">
        <v>48173</v>
      </c>
      <c r="E173" s="202"/>
      <c r="F173" s="202"/>
    </row>
    <row r="174" spans="1:6" ht="15" x14ac:dyDescent="0.2">
      <c r="B174" s="134">
        <v>2016</v>
      </c>
      <c r="C174" s="295">
        <v>39403</v>
      </c>
      <c r="D174" s="295">
        <v>45202</v>
      </c>
      <c r="E174" s="202"/>
      <c r="F174" s="202"/>
    </row>
    <row r="175" spans="1:6" ht="15" x14ac:dyDescent="0.2">
      <c r="B175" s="134">
        <v>2017</v>
      </c>
      <c r="C175" s="295">
        <v>48667</v>
      </c>
      <c r="D175" s="295">
        <v>50906</v>
      </c>
      <c r="E175" s="202"/>
      <c r="F175" s="202"/>
    </row>
    <row r="176" spans="1:6" ht="15" x14ac:dyDescent="0.2">
      <c r="B176" s="134">
        <v>2018</v>
      </c>
      <c r="C176" s="295">
        <v>45019</v>
      </c>
      <c r="D176" s="295">
        <v>52549</v>
      </c>
      <c r="E176" s="202"/>
      <c r="F176" s="202"/>
    </row>
    <row r="177" spans="1:14" ht="15" x14ac:dyDescent="0.2">
      <c r="B177" s="134" t="s">
        <v>354</v>
      </c>
      <c r="C177" s="213">
        <f>(C176-C166)/C166</f>
        <v>-0.15441397445529678</v>
      </c>
      <c r="D177" s="213">
        <f>(D176-D166)/D166</f>
        <v>5.3635160604723904E-2</v>
      </c>
      <c r="E177" s="203"/>
      <c r="F177" s="203"/>
    </row>
    <row r="178" spans="1:14" x14ac:dyDescent="0.2">
      <c r="B178" s="155" t="s">
        <v>352</v>
      </c>
    </row>
    <row r="179" spans="1:14" x14ac:dyDescent="0.2">
      <c r="B179" s="72" t="s">
        <v>353</v>
      </c>
    </row>
    <row r="180" spans="1:14" x14ac:dyDescent="0.2">
      <c r="B180" s="72"/>
    </row>
    <row r="181" spans="1:14" ht="15" x14ac:dyDescent="0.25">
      <c r="B181" s="16" t="s">
        <v>764</v>
      </c>
      <c r="I181" s="631"/>
      <c r="J181" s="631"/>
      <c r="K181" s="631"/>
    </row>
    <row r="182" spans="1:14" x14ac:dyDescent="0.2">
      <c r="A182" s="340"/>
      <c r="B182" s="88" t="s">
        <v>357</v>
      </c>
      <c r="C182" s="632" t="s">
        <v>358</v>
      </c>
      <c r="D182" s="632"/>
      <c r="E182" s="632"/>
      <c r="F182" s="632" t="s">
        <v>359</v>
      </c>
      <c r="G182" s="632"/>
      <c r="H182" s="632"/>
      <c r="I182" s="632" t="s">
        <v>360</v>
      </c>
      <c r="J182" s="632"/>
      <c r="K182" s="632"/>
      <c r="L182" s="632" t="s">
        <v>361</v>
      </c>
      <c r="M182" s="632"/>
      <c r="N182" s="632"/>
    </row>
    <row r="183" spans="1:14" x14ac:dyDescent="0.2">
      <c r="B183" s="88"/>
      <c r="C183" s="40" t="s">
        <v>362</v>
      </c>
      <c r="D183" s="40" t="s">
        <v>363</v>
      </c>
      <c r="E183" s="40" t="s">
        <v>364</v>
      </c>
      <c r="F183" s="40" t="s">
        <v>362</v>
      </c>
      <c r="G183" s="40" t="s">
        <v>363</v>
      </c>
      <c r="H183" s="40" t="s">
        <v>364</v>
      </c>
      <c r="I183" s="331" t="s">
        <v>362</v>
      </c>
      <c r="J183" s="331" t="s">
        <v>363</v>
      </c>
      <c r="K183" s="331" t="s">
        <v>364</v>
      </c>
      <c r="L183" s="40" t="s">
        <v>362</v>
      </c>
      <c r="M183" s="40" t="s">
        <v>363</v>
      </c>
      <c r="N183" s="40" t="s">
        <v>364</v>
      </c>
    </row>
    <row r="184" spans="1:14" x14ac:dyDescent="0.2">
      <c r="B184" s="88" t="s">
        <v>38</v>
      </c>
      <c r="C184" s="40">
        <v>4.5</v>
      </c>
      <c r="D184" s="40">
        <v>17.3</v>
      </c>
      <c r="E184" s="40">
        <v>21.8</v>
      </c>
      <c r="F184" s="40">
        <v>4.5999999999999996</v>
      </c>
      <c r="G184" s="40">
        <v>8.9</v>
      </c>
      <c r="H184" s="40">
        <v>13.6</v>
      </c>
      <c r="I184" s="331">
        <v>9.1</v>
      </c>
      <c r="J184" s="331">
        <v>26.3</v>
      </c>
      <c r="K184" s="331">
        <v>35.4</v>
      </c>
      <c r="L184" s="40">
        <v>9.1999999999999993</v>
      </c>
      <c r="M184" s="40">
        <v>27.6</v>
      </c>
      <c r="N184" s="40">
        <v>36.700000000000003</v>
      </c>
    </row>
    <row r="185" spans="1:14" x14ac:dyDescent="0.2">
      <c r="B185" s="88" t="s">
        <v>41</v>
      </c>
      <c r="C185" s="40">
        <v>380.2</v>
      </c>
      <c r="D185" s="40">
        <v>1272.5999999999999</v>
      </c>
      <c r="E185" s="40">
        <v>1652.8</v>
      </c>
      <c r="F185" s="40">
        <v>228.7</v>
      </c>
      <c r="G185" s="40">
        <v>607.29999999999995</v>
      </c>
      <c r="H185" s="40">
        <v>835.9</v>
      </c>
      <c r="I185" s="331">
        <v>608.9</v>
      </c>
      <c r="J185" s="331">
        <v>1879.9</v>
      </c>
      <c r="K185" s="331">
        <v>2488.8000000000002</v>
      </c>
      <c r="L185" s="40">
        <v>610</v>
      </c>
      <c r="M185" s="40">
        <v>1935.6</v>
      </c>
      <c r="N185" s="40">
        <v>2545.6</v>
      </c>
    </row>
    <row r="186" spans="1:14" x14ac:dyDescent="0.2">
      <c r="B186" s="406" t="s">
        <v>365</v>
      </c>
      <c r="C186" s="40"/>
      <c r="D186" s="40" t="s">
        <v>366</v>
      </c>
      <c r="E186" s="40"/>
      <c r="F186" s="40"/>
      <c r="G186" s="40"/>
      <c r="H186" s="40"/>
      <c r="I186" s="331"/>
      <c r="J186" s="331"/>
      <c r="K186" s="331"/>
      <c r="L186" s="40"/>
      <c r="M186" s="40"/>
      <c r="N186" s="40"/>
    </row>
    <row r="187" spans="1:14" x14ac:dyDescent="0.2">
      <c r="B187" s="155"/>
      <c r="I187" s="332"/>
      <c r="J187" s="332"/>
      <c r="K187" s="332"/>
    </row>
    <row r="188" spans="1:14" ht="15" x14ac:dyDescent="0.25">
      <c r="B188" s="16" t="s">
        <v>765</v>
      </c>
      <c r="I188" s="332"/>
      <c r="J188" s="332"/>
      <c r="K188" s="332"/>
    </row>
    <row r="189" spans="1:14" x14ac:dyDescent="0.2">
      <c r="A189" s="340"/>
      <c r="B189" s="88" t="s">
        <v>357</v>
      </c>
      <c r="C189" s="632" t="s">
        <v>640</v>
      </c>
      <c r="D189" s="632"/>
      <c r="E189" s="634" t="s">
        <v>953</v>
      </c>
      <c r="F189" s="634"/>
      <c r="I189" s="332"/>
      <c r="J189" s="332"/>
      <c r="K189" s="332"/>
    </row>
    <row r="190" spans="1:14" ht="13.5" customHeight="1" x14ac:dyDescent="0.2">
      <c r="B190" s="88"/>
      <c r="C190" s="405" t="s">
        <v>393</v>
      </c>
      <c r="D190" s="405" t="s">
        <v>394</v>
      </c>
      <c r="E190" s="407" t="s">
        <v>393</v>
      </c>
      <c r="F190" s="407" t="s">
        <v>394</v>
      </c>
      <c r="I190" s="332"/>
      <c r="J190" s="332"/>
      <c r="K190" s="332"/>
    </row>
    <row r="191" spans="1:14" x14ac:dyDescent="0.2">
      <c r="B191" s="88" t="s">
        <v>38</v>
      </c>
      <c r="C191" s="106">
        <f>E184/N184</f>
        <v>0.59400544959128065</v>
      </c>
      <c r="D191" s="106">
        <f>H184/N184</f>
        <v>0.37057220708446864</v>
      </c>
      <c r="E191" s="408">
        <v>0.379</v>
      </c>
      <c r="F191" s="408">
        <v>0.15</v>
      </c>
      <c r="I191" s="332"/>
      <c r="J191" s="332"/>
      <c r="K191" s="332"/>
    </row>
    <row r="192" spans="1:14" ht="15" x14ac:dyDescent="0.25">
      <c r="B192" s="88" t="s">
        <v>41</v>
      </c>
      <c r="C192" s="106">
        <f>E185/N185</f>
        <v>0.64927718416090507</v>
      </c>
      <c r="D192" s="106">
        <f>H185/N185</f>
        <v>0.32837052168447517</v>
      </c>
      <c r="E192"/>
      <c r="F192"/>
      <c r="I192" s="332"/>
      <c r="J192" s="332"/>
      <c r="K192" s="332"/>
    </row>
    <row r="193" spans="1:20" x14ac:dyDescent="0.2">
      <c r="B193" s="155" t="s">
        <v>365</v>
      </c>
      <c r="I193" s="332"/>
      <c r="J193" s="332"/>
      <c r="K193" s="332"/>
    </row>
    <row r="194" spans="1:20" x14ac:dyDescent="0.2">
      <c r="B194" s="410" t="s">
        <v>950</v>
      </c>
    </row>
    <row r="195" spans="1:20" ht="15" thickBot="1" x14ac:dyDescent="0.25">
      <c r="B195" s="72"/>
    </row>
    <row r="196" spans="1:20" ht="15" x14ac:dyDescent="0.25">
      <c r="A196" s="340"/>
      <c r="B196" s="17" t="s">
        <v>766</v>
      </c>
      <c r="C196" s="76"/>
      <c r="D196" s="76" t="s">
        <v>356</v>
      </c>
      <c r="E196" s="76"/>
      <c r="F196" s="76"/>
      <c r="G196" s="76"/>
      <c r="H196" s="76"/>
      <c r="I196" s="633"/>
      <c r="J196" s="633"/>
      <c r="K196" s="633"/>
      <c r="L196" s="76"/>
      <c r="M196" s="76"/>
      <c r="N196" s="76"/>
      <c r="O196" s="76"/>
      <c r="P196" s="76"/>
      <c r="Q196" s="76"/>
      <c r="R196" s="76"/>
      <c r="S196" s="76"/>
      <c r="T196" s="77"/>
    </row>
    <row r="197" spans="1:20" x14ac:dyDescent="0.2">
      <c r="A197" s="340"/>
      <c r="B197" s="87" t="s">
        <v>357</v>
      </c>
      <c r="C197" s="632" t="s">
        <v>358</v>
      </c>
      <c r="D197" s="632"/>
      <c r="E197" s="632"/>
      <c r="F197" s="632" t="s">
        <v>359</v>
      </c>
      <c r="G197" s="632"/>
      <c r="H197" s="632"/>
      <c r="I197" s="632" t="s">
        <v>360</v>
      </c>
      <c r="J197" s="632"/>
      <c r="K197" s="632"/>
      <c r="L197" s="632" t="s">
        <v>361</v>
      </c>
      <c r="M197" s="632"/>
      <c r="N197" s="632"/>
      <c r="T197" s="78"/>
    </row>
    <row r="198" spans="1:20" x14ac:dyDescent="0.2">
      <c r="A198" s="340"/>
      <c r="B198" s="87"/>
      <c r="C198" s="40" t="s">
        <v>362</v>
      </c>
      <c r="D198" s="40" t="s">
        <v>363</v>
      </c>
      <c r="E198" s="40" t="s">
        <v>364</v>
      </c>
      <c r="F198" s="40" t="s">
        <v>362</v>
      </c>
      <c r="G198" s="40" t="s">
        <v>363</v>
      </c>
      <c r="H198" s="40" t="s">
        <v>364</v>
      </c>
      <c r="I198" s="331" t="s">
        <v>362</v>
      </c>
      <c r="J198" s="331" t="s">
        <v>363</v>
      </c>
      <c r="K198" s="331" t="s">
        <v>364</v>
      </c>
      <c r="L198" s="40" t="s">
        <v>362</v>
      </c>
      <c r="M198" s="40" t="s">
        <v>363</v>
      </c>
      <c r="N198" s="40" t="s">
        <v>364</v>
      </c>
      <c r="T198" s="78"/>
    </row>
    <row r="199" spans="1:20" x14ac:dyDescent="0.2">
      <c r="A199" s="340"/>
      <c r="B199" s="87" t="s">
        <v>38</v>
      </c>
      <c r="C199" s="434">
        <v>4.5</v>
      </c>
      <c r="D199" s="434">
        <v>17.3</v>
      </c>
      <c r="E199" s="434">
        <v>21.8</v>
      </c>
      <c r="F199" s="434">
        <v>4.5999999999999996</v>
      </c>
      <c r="G199" s="434">
        <v>8.9</v>
      </c>
      <c r="H199" s="434">
        <v>13.6</v>
      </c>
      <c r="I199" s="434">
        <v>9.1</v>
      </c>
      <c r="J199" s="434">
        <v>26.3</v>
      </c>
      <c r="K199" s="435">
        <v>35.4</v>
      </c>
      <c r="L199" s="434">
        <v>9.1999999999999993</v>
      </c>
      <c r="M199" s="434">
        <v>27.6</v>
      </c>
      <c r="N199" s="434">
        <v>36.700000000000003</v>
      </c>
      <c r="T199" s="78"/>
    </row>
    <row r="200" spans="1:20" x14ac:dyDescent="0.2">
      <c r="A200" s="340"/>
      <c r="B200" s="87" t="s">
        <v>41</v>
      </c>
      <c r="C200" s="434">
        <v>380.2</v>
      </c>
      <c r="D200" s="434">
        <v>1272.5999999999999</v>
      </c>
      <c r="E200" s="434">
        <v>1652.8</v>
      </c>
      <c r="F200" s="434">
        <v>228.7</v>
      </c>
      <c r="G200" s="434">
        <v>607.29999999999995</v>
      </c>
      <c r="H200" s="434">
        <v>835.9</v>
      </c>
      <c r="I200" s="434">
        <v>608.9</v>
      </c>
      <c r="J200" s="434">
        <v>1879.9</v>
      </c>
      <c r="K200" s="434">
        <v>2488.8000000000002</v>
      </c>
      <c r="L200" s="434">
        <v>610</v>
      </c>
      <c r="M200" s="434">
        <v>1935.6</v>
      </c>
      <c r="N200" s="434">
        <v>2545.6</v>
      </c>
      <c r="T200" s="78"/>
    </row>
    <row r="201" spans="1:20" ht="15" x14ac:dyDescent="0.25">
      <c r="A201" s="340"/>
      <c r="B201" s="409" t="s">
        <v>365</v>
      </c>
      <c r="D201" s="12" t="s">
        <v>366</v>
      </c>
      <c r="I201" s="158"/>
      <c r="J201" s="158"/>
      <c r="K201" s="158"/>
      <c r="T201" s="78"/>
    </row>
    <row r="202" spans="1:20" x14ac:dyDescent="0.2">
      <c r="A202" s="340"/>
      <c r="B202" s="80"/>
      <c r="I202" s="158"/>
      <c r="J202" s="158"/>
      <c r="K202" s="158"/>
      <c r="T202" s="78"/>
    </row>
    <row r="203" spans="1:20" ht="15" x14ac:dyDescent="0.25">
      <c r="A203" s="340"/>
      <c r="B203" s="21" t="s">
        <v>767</v>
      </c>
      <c r="I203" s="631"/>
      <c r="J203" s="631"/>
      <c r="K203" s="631"/>
      <c r="T203" s="78"/>
    </row>
    <row r="204" spans="1:20" ht="42.75" x14ac:dyDescent="0.2">
      <c r="A204" s="340"/>
      <c r="B204" s="173"/>
      <c r="C204" s="174" t="s">
        <v>368</v>
      </c>
      <c r="D204" s="174" t="s">
        <v>369</v>
      </c>
      <c r="E204" s="174" t="s">
        <v>370</v>
      </c>
      <c r="F204" s="174" t="s">
        <v>371</v>
      </c>
      <c r="G204" s="174" t="s">
        <v>372</v>
      </c>
      <c r="H204" s="174" t="s">
        <v>373</v>
      </c>
      <c r="I204" s="174" t="s">
        <v>374</v>
      </c>
      <c r="J204" s="174" t="s">
        <v>375</v>
      </c>
      <c r="K204" s="174" t="s">
        <v>376</v>
      </c>
      <c r="L204" s="174" t="s">
        <v>377</v>
      </c>
      <c r="M204" s="174" t="s">
        <v>378</v>
      </c>
      <c r="N204" s="174" t="s">
        <v>379</v>
      </c>
      <c r="O204" s="174" t="s">
        <v>380</v>
      </c>
      <c r="P204" s="174" t="s">
        <v>381</v>
      </c>
      <c r="Q204" s="174" t="s">
        <v>382</v>
      </c>
      <c r="R204" s="174" t="s">
        <v>383</v>
      </c>
      <c r="S204" s="174" t="s">
        <v>384</v>
      </c>
      <c r="T204" s="175" t="s">
        <v>86</v>
      </c>
    </row>
    <row r="205" spans="1:20" ht="15" x14ac:dyDescent="0.2">
      <c r="A205" s="340"/>
      <c r="B205" s="87" t="s">
        <v>38</v>
      </c>
      <c r="C205" s="214">
        <v>625</v>
      </c>
      <c r="D205" s="214">
        <v>215</v>
      </c>
      <c r="E205" s="214">
        <v>460</v>
      </c>
      <c r="F205" s="214">
        <v>130</v>
      </c>
      <c r="G205" s="214">
        <v>70</v>
      </c>
      <c r="H205" s="214">
        <v>220</v>
      </c>
      <c r="I205" s="214">
        <v>85</v>
      </c>
      <c r="J205" s="214">
        <v>280</v>
      </c>
      <c r="K205" s="214">
        <v>65</v>
      </c>
      <c r="L205" s="214">
        <v>30</v>
      </c>
      <c r="M205" s="214">
        <v>75</v>
      </c>
      <c r="N205" s="214">
        <v>340</v>
      </c>
      <c r="O205" s="214">
        <v>215</v>
      </c>
      <c r="P205" s="214">
        <v>5</v>
      </c>
      <c r="Q205" s="214">
        <v>25</v>
      </c>
      <c r="R205" s="214">
        <v>85</v>
      </c>
      <c r="S205" s="214">
        <v>210</v>
      </c>
      <c r="T205" s="215">
        <v>3135</v>
      </c>
    </row>
    <row r="206" spans="1:20" ht="15" x14ac:dyDescent="0.2">
      <c r="A206" s="340"/>
      <c r="B206" s="87" t="s">
        <v>41</v>
      </c>
      <c r="C206" s="214">
        <v>17260</v>
      </c>
      <c r="D206" s="214">
        <v>10655</v>
      </c>
      <c r="E206" s="214">
        <v>21765</v>
      </c>
      <c r="F206" s="214">
        <v>4885</v>
      </c>
      <c r="G206" s="214">
        <v>5295</v>
      </c>
      <c r="H206" s="214">
        <v>14200</v>
      </c>
      <c r="I206" s="214">
        <v>6775</v>
      </c>
      <c r="J206" s="214">
        <v>14960</v>
      </c>
      <c r="K206" s="214">
        <v>8085</v>
      </c>
      <c r="L206" s="214">
        <v>2995</v>
      </c>
      <c r="M206" s="214">
        <v>6180</v>
      </c>
      <c r="N206" s="214">
        <v>26200</v>
      </c>
      <c r="O206" s="214">
        <v>12745</v>
      </c>
      <c r="P206" s="214">
        <v>55</v>
      </c>
      <c r="Q206" s="214">
        <v>2095</v>
      </c>
      <c r="R206" s="214">
        <v>6695</v>
      </c>
      <c r="S206" s="214">
        <v>12810</v>
      </c>
      <c r="T206" s="215">
        <v>173655</v>
      </c>
    </row>
    <row r="207" spans="1:20" ht="15.75" thickBot="1" x14ac:dyDescent="0.3">
      <c r="A207" s="340"/>
      <c r="B207" s="216" t="s">
        <v>385</v>
      </c>
      <c r="C207" s="81"/>
      <c r="D207" s="81" t="s">
        <v>366</v>
      </c>
      <c r="E207" s="81"/>
      <c r="F207" s="81"/>
      <c r="G207" s="81"/>
      <c r="H207" s="81"/>
      <c r="I207" s="159"/>
      <c r="J207" s="159"/>
      <c r="K207" s="159"/>
      <c r="L207" s="81"/>
      <c r="M207" s="81"/>
      <c r="N207" s="81"/>
      <c r="O207" s="81"/>
      <c r="P207" s="81"/>
      <c r="Q207" s="81"/>
      <c r="R207" s="81"/>
      <c r="S207" s="81"/>
      <c r="T207" s="82"/>
    </row>
    <row r="208" spans="1:20" x14ac:dyDescent="0.2">
      <c r="A208" s="340"/>
    </row>
    <row r="209" spans="1:20" ht="15" x14ac:dyDescent="0.25">
      <c r="A209" s="340"/>
      <c r="B209" s="21" t="s">
        <v>753</v>
      </c>
    </row>
    <row r="210" spans="1:20" s="121" customFormat="1" ht="42.75" x14ac:dyDescent="0.2">
      <c r="A210" s="337"/>
      <c r="B210" s="173"/>
      <c r="C210" s="176" t="s">
        <v>368</v>
      </c>
      <c r="D210" s="174" t="s">
        <v>369</v>
      </c>
      <c r="E210" s="176" t="s">
        <v>370</v>
      </c>
      <c r="F210" s="174" t="s">
        <v>371</v>
      </c>
      <c r="G210" s="174" t="s">
        <v>372</v>
      </c>
      <c r="H210" s="176" t="s">
        <v>373</v>
      </c>
      <c r="I210" s="174" t="s">
        <v>374</v>
      </c>
      <c r="J210" s="176" t="s">
        <v>375</v>
      </c>
      <c r="K210" s="174" t="s">
        <v>376</v>
      </c>
      <c r="L210" s="174" t="s">
        <v>377</v>
      </c>
      <c r="M210" s="174" t="s">
        <v>378</v>
      </c>
      <c r="N210" s="176" t="s">
        <v>379</v>
      </c>
      <c r="O210" s="174" t="s">
        <v>380</v>
      </c>
      <c r="P210" s="174" t="s">
        <v>381</v>
      </c>
      <c r="Q210" s="174" t="s">
        <v>382</v>
      </c>
      <c r="R210" s="174" t="s">
        <v>383</v>
      </c>
      <c r="S210" s="174" t="s">
        <v>384</v>
      </c>
      <c r="T210" s="175" t="s">
        <v>86</v>
      </c>
    </row>
    <row r="211" spans="1:20" x14ac:dyDescent="0.2">
      <c r="A211" s="340"/>
      <c r="B211" s="87" t="s">
        <v>38</v>
      </c>
      <c r="C211" s="106">
        <f t="shared" ref="C211:T211" si="8">C205/$T$205</f>
        <v>0.19936204146730463</v>
      </c>
      <c r="D211" s="106">
        <f t="shared" si="8"/>
        <v>6.8580542264752797E-2</v>
      </c>
      <c r="E211" s="106">
        <f t="shared" si="8"/>
        <v>0.14673046251993621</v>
      </c>
      <c r="F211" s="106">
        <f t="shared" si="8"/>
        <v>4.1467304625199361E-2</v>
      </c>
      <c r="G211" s="106">
        <f t="shared" si="8"/>
        <v>2.2328548644338118E-2</v>
      </c>
      <c r="H211" s="106">
        <f t="shared" si="8"/>
        <v>7.0175438596491224E-2</v>
      </c>
      <c r="I211" s="106">
        <f t="shared" si="8"/>
        <v>2.7113237639553429E-2</v>
      </c>
      <c r="J211" s="106">
        <f t="shared" si="8"/>
        <v>8.9314194577352471E-2</v>
      </c>
      <c r="K211" s="106">
        <f t="shared" si="8"/>
        <v>2.0733652312599681E-2</v>
      </c>
      <c r="L211" s="106">
        <f t="shared" si="8"/>
        <v>9.5693779904306216E-3</v>
      </c>
      <c r="M211" s="106">
        <f t="shared" si="8"/>
        <v>2.3923444976076555E-2</v>
      </c>
      <c r="N211" s="106">
        <f t="shared" si="8"/>
        <v>0.10845295055821372</v>
      </c>
      <c r="O211" s="106">
        <f t="shared" si="8"/>
        <v>6.8580542264752797E-2</v>
      </c>
      <c r="P211" s="106">
        <f t="shared" si="8"/>
        <v>1.594896331738437E-3</v>
      </c>
      <c r="Q211" s="106">
        <f t="shared" si="8"/>
        <v>7.9744816586921844E-3</v>
      </c>
      <c r="R211" s="106">
        <f t="shared" si="8"/>
        <v>2.7113237639553429E-2</v>
      </c>
      <c r="S211" s="106">
        <f t="shared" si="8"/>
        <v>6.6985645933014357E-2</v>
      </c>
      <c r="T211" s="106">
        <f t="shared" si="8"/>
        <v>1</v>
      </c>
    </row>
    <row r="212" spans="1:20" x14ac:dyDescent="0.2">
      <c r="A212" s="340"/>
      <c r="B212" s="87" t="s">
        <v>41</v>
      </c>
      <c r="C212" s="106">
        <f>C206/$T$206</f>
        <v>9.9392473582678303E-2</v>
      </c>
      <c r="D212" s="106">
        <f t="shared" ref="D212:T212" si="9">D206/$T$206</f>
        <v>6.1357288877371803E-2</v>
      </c>
      <c r="E212" s="106">
        <f t="shared" si="9"/>
        <v>0.12533471538395094</v>
      </c>
      <c r="F212" s="106">
        <f t="shared" si="9"/>
        <v>2.8130488612478764E-2</v>
      </c>
      <c r="G212" s="106">
        <f t="shared" si="9"/>
        <v>3.0491491750885377E-2</v>
      </c>
      <c r="H212" s="106">
        <f t="shared" si="9"/>
        <v>8.1771328208228966E-2</v>
      </c>
      <c r="I212" s="106">
        <f t="shared" si="9"/>
        <v>3.901413722610924E-2</v>
      </c>
      <c r="J212" s="106">
        <f t="shared" si="9"/>
        <v>8.6147821830641208E-2</v>
      </c>
      <c r="K212" s="106">
        <f t="shared" si="9"/>
        <v>4.6557830180530363E-2</v>
      </c>
      <c r="L212" s="106">
        <f t="shared" si="9"/>
        <v>1.7246839998848292E-2</v>
      </c>
      <c r="M212" s="106">
        <f t="shared" si="9"/>
        <v>3.5587803403299645E-2</v>
      </c>
      <c r="N212" s="106">
        <f t="shared" si="9"/>
        <v>0.15087385908842244</v>
      </c>
      <c r="O212" s="106">
        <f t="shared" si="9"/>
        <v>7.3392646339005496E-2</v>
      </c>
      <c r="P212" s="106">
        <f t="shared" si="9"/>
        <v>3.1671993320088682E-4</v>
      </c>
      <c r="Q212" s="106">
        <f t="shared" si="9"/>
        <v>1.206415018283378E-2</v>
      </c>
      <c r="R212" s="106">
        <f t="shared" si="9"/>
        <v>3.8553453686907949E-2</v>
      </c>
      <c r="S212" s="106">
        <f t="shared" si="9"/>
        <v>7.3766951714606552E-2</v>
      </c>
      <c r="T212" s="106">
        <f t="shared" si="9"/>
        <v>1</v>
      </c>
    </row>
    <row r="213" spans="1:20" ht="15.75" thickBot="1" x14ac:dyDescent="0.3">
      <c r="A213" s="340"/>
      <c r="B213" s="216" t="s">
        <v>385</v>
      </c>
    </row>
    <row r="214" spans="1:20" ht="15" thickBot="1" x14ac:dyDescent="0.25">
      <c r="A214" s="340"/>
    </row>
    <row r="215" spans="1:20" ht="15" x14ac:dyDescent="0.25">
      <c r="A215" s="340"/>
      <c r="B215" s="17" t="s">
        <v>768</v>
      </c>
      <c r="C215" s="76"/>
      <c r="D215" s="76"/>
      <c r="E215" s="76"/>
      <c r="F215" s="76"/>
      <c r="G215" s="76"/>
      <c r="H215" s="76"/>
      <c r="I215" s="76"/>
      <c r="J215" s="77"/>
      <c r="M215"/>
      <c r="N215"/>
      <c r="O215"/>
      <c r="P215"/>
      <c r="Q215"/>
    </row>
    <row r="216" spans="1:20" ht="15" x14ac:dyDescent="0.25">
      <c r="A216" s="340"/>
      <c r="B216" s="87"/>
      <c r="C216" s="88">
        <v>2016</v>
      </c>
      <c r="D216" s="88">
        <v>2017</v>
      </c>
      <c r="E216" s="88">
        <v>2018</v>
      </c>
      <c r="F216" s="88">
        <v>2019</v>
      </c>
      <c r="G216" s="88">
        <v>2020</v>
      </c>
      <c r="H216" s="88">
        <v>2021</v>
      </c>
      <c r="I216" s="89" t="s">
        <v>690</v>
      </c>
      <c r="J216" s="89" t="s">
        <v>791</v>
      </c>
      <c r="M216"/>
      <c r="N216"/>
      <c r="O216"/>
      <c r="P216"/>
      <c r="Q216"/>
    </row>
    <row r="217" spans="1:20" ht="15" x14ac:dyDescent="0.25">
      <c r="A217" s="340"/>
      <c r="B217" s="87" t="s">
        <v>38</v>
      </c>
      <c r="C217" s="217">
        <v>275</v>
      </c>
      <c r="D217" s="218">
        <v>310</v>
      </c>
      <c r="E217" s="217">
        <v>290</v>
      </c>
      <c r="F217" s="217">
        <v>260</v>
      </c>
      <c r="G217" s="219">
        <v>210</v>
      </c>
      <c r="H217" s="220">
        <v>220</v>
      </c>
      <c r="I217" s="436">
        <f>SUM(C217:H217)</f>
        <v>1565</v>
      </c>
      <c r="J217" s="454">
        <f>(H217-C217)/C217</f>
        <v>-0.2</v>
      </c>
      <c r="K217" s="158"/>
      <c r="M217"/>
      <c r="N217"/>
      <c r="O217"/>
      <c r="P217"/>
      <c r="Q217"/>
    </row>
    <row r="218" spans="1:20" ht="15" x14ac:dyDescent="0.2">
      <c r="A218" s="340"/>
      <c r="B218" s="87" t="s">
        <v>41</v>
      </c>
      <c r="C218" s="217">
        <v>21440</v>
      </c>
      <c r="D218" s="218">
        <v>19845</v>
      </c>
      <c r="E218" s="217">
        <v>19620</v>
      </c>
      <c r="F218" s="217">
        <v>20680</v>
      </c>
      <c r="G218" s="219">
        <v>16850</v>
      </c>
      <c r="H218" s="220">
        <v>18910</v>
      </c>
      <c r="I218" s="436">
        <f>SUM(C218:H218)</f>
        <v>117345</v>
      </c>
      <c r="J218" s="454">
        <f>(H218-C218)/C218</f>
        <v>-0.11800373134328358</v>
      </c>
      <c r="K218" s="332"/>
      <c r="M218" s="380"/>
      <c r="N218" s="380"/>
      <c r="O218" s="380"/>
      <c r="P218" s="380"/>
      <c r="Q218" s="380"/>
    </row>
    <row r="219" spans="1:20" ht="15.75" thickBot="1" x14ac:dyDescent="0.25">
      <c r="A219" s="340"/>
      <c r="B219" s="221"/>
      <c r="C219" s="222"/>
      <c r="D219" s="223"/>
      <c r="E219" s="222"/>
      <c r="F219" s="222"/>
      <c r="G219" s="222"/>
      <c r="H219" s="224"/>
      <c r="I219" s="224"/>
      <c r="J219" s="160"/>
      <c r="K219" s="158"/>
      <c r="M219" s="158"/>
      <c r="N219" s="158"/>
      <c r="O219" s="158"/>
      <c r="P219" s="158"/>
      <c r="Q219" s="158"/>
    </row>
    <row r="220" spans="1:20" ht="15" x14ac:dyDescent="0.25">
      <c r="A220" s="340"/>
      <c r="B220" s="17" t="s">
        <v>769</v>
      </c>
      <c r="C220" s="76"/>
      <c r="D220" s="76"/>
      <c r="E220" s="76"/>
      <c r="F220" s="76"/>
      <c r="G220" s="76"/>
      <c r="H220" s="76"/>
      <c r="I220" s="76"/>
      <c r="J220" s="77"/>
      <c r="K220" s="158"/>
      <c r="M220" s="158"/>
      <c r="N220" s="158"/>
      <c r="O220" s="158"/>
      <c r="P220" s="158"/>
      <c r="Q220" s="158"/>
    </row>
    <row r="221" spans="1:20" x14ac:dyDescent="0.2">
      <c r="A221" s="340"/>
      <c r="B221" s="87"/>
      <c r="C221" s="88">
        <v>2016</v>
      </c>
      <c r="D221" s="88">
        <v>2017</v>
      </c>
      <c r="E221" s="88">
        <v>2018</v>
      </c>
      <c r="F221" s="88">
        <v>2019</v>
      </c>
      <c r="G221" s="88">
        <v>2020</v>
      </c>
      <c r="H221" s="88">
        <v>2021</v>
      </c>
      <c r="I221" s="89" t="s">
        <v>387</v>
      </c>
      <c r="J221" s="89" t="s">
        <v>791</v>
      </c>
      <c r="K221" s="158"/>
      <c r="M221" s="158"/>
      <c r="N221" s="158"/>
      <c r="O221" s="158"/>
      <c r="P221" s="158"/>
      <c r="Q221" s="158"/>
    </row>
    <row r="222" spans="1:20" ht="15" x14ac:dyDescent="0.2">
      <c r="A222" s="340"/>
      <c r="B222" s="87" t="s">
        <v>38</v>
      </c>
      <c r="C222" s="218">
        <v>275</v>
      </c>
      <c r="D222" s="218">
        <v>275</v>
      </c>
      <c r="E222" s="217">
        <v>245</v>
      </c>
      <c r="F222" s="220">
        <v>240</v>
      </c>
      <c r="G222" s="217">
        <v>255</v>
      </c>
      <c r="H222" s="220">
        <v>270</v>
      </c>
      <c r="I222" s="207">
        <f>SUM(C222:H222)</f>
        <v>1560</v>
      </c>
      <c r="J222" s="454">
        <f>(H222-C222)/C222</f>
        <v>-1.8181818181818181E-2</v>
      </c>
      <c r="K222" s="158"/>
      <c r="M222" s="158"/>
      <c r="N222" s="158"/>
      <c r="O222" s="158"/>
      <c r="P222" s="158"/>
      <c r="Q222" s="158"/>
    </row>
    <row r="223" spans="1:20" ht="15" x14ac:dyDescent="0.2">
      <c r="A223" s="340"/>
      <c r="B223" s="87" t="s">
        <v>41</v>
      </c>
      <c r="C223" s="217">
        <v>17905</v>
      </c>
      <c r="D223" s="218">
        <v>18790</v>
      </c>
      <c r="E223" s="217">
        <v>17370</v>
      </c>
      <c r="F223" s="217">
        <v>18310</v>
      </c>
      <c r="G223" s="219">
        <v>18210</v>
      </c>
      <c r="H223" s="220">
        <v>19705</v>
      </c>
      <c r="I223" s="436">
        <f>SUM(C223:H223)</f>
        <v>110290</v>
      </c>
      <c r="J223" s="454">
        <f>(H223-C223)/C223</f>
        <v>0.1005305780508238</v>
      </c>
      <c r="K223" s="332"/>
      <c r="M223" s="332"/>
      <c r="N223" s="332"/>
      <c r="O223" s="332"/>
      <c r="P223" s="332"/>
      <c r="Q223" s="332"/>
    </row>
    <row r="224" spans="1:20" ht="15.75" thickBot="1" x14ac:dyDescent="0.3">
      <c r="A224" s="340"/>
      <c r="B224" s="216" t="s">
        <v>388</v>
      </c>
      <c r="C224" s="81"/>
      <c r="D224" s="81"/>
      <c r="E224" s="81"/>
      <c r="F224" s="81"/>
      <c r="G224" s="81"/>
      <c r="H224" s="81"/>
      <c r="I224" s="81"/>
      <c r="J224" s="160"/>
      <c r="K224" s="158"/>
    </row>
    <row r="225" spans="1:11" ht="15" thickBot="1" x14ac:dyDescent="0.25">
      <c r="A225" s="340"/>
    </row>
    <row r="226" spans="1:11" ht="15" x14ac:dyDescent="0.25">
      <c r="A226" s="340"/>
      <c r="B226" s="17" t="s">
        <v>770</v>
      </c>
      <c r="C226" s="76"/>
      <c r="D226" s="76"/>
      <c r="E226" s="76"/>
      <c r="F226" s="76"/>
      <c r="G226" s="77"/>
    </row>
    <row r="227" spans="1:11" ht="15" x14ac:dyDescent="0.25">
      <c r="A227" s="340"/>
      <c r="B227" s="21"/>
      <c r="G227" s="78"/>
    </row>
    <row r="228" spans="1:11" ht="15" x14ac:dyDescent="0.25">
      <c r="A228" s="340"/>
      <c r="B228" s="161" t="s">
        <v>390</v>
      </c>
      <c r="C228" s="88" t="s">
        <v>241</v>
      </c>
      <c r="D228" s="88" t="s">
        <v>391</v>
      </c>
      <c r="E228" s="88" t="s">
        <v>392</v>
      </c>
      <c r="F228" s="88" t="s">
        <v>391</v>
      </c>
      <c r="G228" s="78"/>
    </row>
    <row r="229" spans="1:11" x14ac:dyDescent="0.2">
      <c r="B229" s="87" t="s">
        <v>38</v>
      </c>
      <c r="C229" s="296">
        <v>471.1</v>
      </c>
      <c r="D229" s="297">
        <v>7.6</v>
      </c>
      <c r="E229" s="296">
        <v>518.4</v>
      </c>
      <c r="F229" s="297">
        <v>-1.6</v>
      </c>
      <c r="G229" s="78"/>
    </row>
    <row r="230" spans="1:11" x14ac:dyDescent="0.2">
      <c r="B230" s="87" t="s">
        <v>41</v>
      </c>
      <c r="C230" s="296">
        <v>528.6</v>
      </c>
      <c r="D230" s="297">
        <v>4.7</v>
      </c>
      <c r="E230" s="296">
        <v>599.20000000000005</v>
      </c>
      <c r="F230" s="297">
        <v>4.0999999999999996</v>
      </c>
      <c r="G230" s="78"/>
    </row>
    <row r="231" spans="1:11" x14ac:dyDescent="0.2">
      <c r="B231" s="177"/>
      <c r="C231" s="40"/>
      <c r="D231" s="40"/>
      <c r="E231" s="40"/>
      <c r="F231" s="40"/>
      <c r="G231" s="78"/>
    </row>
    <row r="232" spans="1:11" ht="15" x14ac:dyDescent="0.25">
      <c r="B232" s="162" t="s">
        <v>393</v>
      </c>
      <c r="C232" s="88" t="s">
        <v>241</v>
      </c>
      <c r="D232" s="88" t="s">
        <v>391</v>
      </c>
      <c r="E232" s="88" t="s">
        <v>392</v>
      </c>
      <c r="F232" s="88" t="s">
        <v>391</v>
      </c>
      <c r="G232" s="78"/>
    </row>
    <row r="233" spans="1:11" x14ac:dyDescent="0.2">
      <c r="B233" s="87" t="s">
        <v>38</v>
      </c>
      <c r="C233" s="40">
        <v>598.79999999999995</v>
      </c>
      <c r="D233" s="40">
        <v>5.9</v>
      </c>
      <c r="E233" s="40">
        <v>662.7</v>
      </c>
      <c r="F233" s="40">
        <v>-4.0999999999999996</v>
      </c>
      <c r="G233" s="78"/>
      <c r="I233" s="158"/>
      <c r="J233" s="158"/>
      <c r="K233" s="158"/>
    </row>
    <row r="234" spans="1:11" x14ac:dyDescent="0.2">
      <c r="B234" s="87" t="s">
        <v>41</v>
      </c>
      <c r="C234" s="40">
        <v>640.29999999999995</v>
      </c>
      <c r="D234" s="40">
        <v>3.3</v>
      </c>
      <c r="E234" s="40">
        <v>732.3</v>
      </c>
      <c r="F234" s="40">
        <v>4.4000000000000004</v>
      </c>
      <c r="G234" s="78"/>
      <c r="I234" s="332"/>
      <c r="J234" s="332"/>
      <c r="K234" s="332"/>
    </row>
    <row r="235" spans="1:11" ht="15" x14ac:dyDescent="0.25">
      <c r="B235" s="162" t="s">
        <v>394</v>
      </c>
      <c r="C235" s="88" t="s">
        <v>241</v>
      </c>
      <c r="D235" s="88" t="s">
        <v>391</v>
      </c>
      <c r="E235" s="88" t="s">
        <v>392</v>
      </c>
      <c r="F235" s="88" t="s">
        <v>391</v>
      </c>
      <c r="G235" s="78"/>
    </row>
    <row r="236" spans="1:11" x14ac:dyDescent="0.2">
      <c r="B236" s="87" t="s">
        <v>38</v>
      </c>
      <c r="C236" s="298">
        <v>224.9</v>
      </c>
      <c r="D236" s="297">
        <v>7.3</v>
      </c>
      <c r="E236" s="299">
        <v>239.1</v>
      </c>
      <c r="F236" s="297">
        <v>15.1</v>
      </c>
      <c r="G236" s="78"/>
      <c r="I236" s="158"/>
      <c r="J236" s="158"/>
      <c r="K236" s="158"/>
    </row>
    <row r="237" spans="1:11" x14ac:dyDescent="0.2">
      <c r="B237" s="87" t="s">
        <v>41</v>
      </c>
      <c r="C237" s="298">
        <v>236.7</v>
      </c>
      <c r="D237" s="297">
        <v>6.1</v>
      </c>
      <c r="E237" s="299">
        <v>271.8</v>
      </c>
      <c r="F237" s="297">
        <v>3.8</v>
      </c>
      <c r="G237" s="78"/>
      <c r="I237" s="332"/>
      <c r="J237" s="332"/>
      <c r="K237" s="332"/>
    </row>
    <row r="238" spans="1:11" ht="15" x14ac:dyDescent="0.25">
      <c r="B238" s="162" t="s">
        <v>395</v>
      </c>
      <c r="C238" s="88" t="s">
        <v>241</v>
      </c>
      <c r="D238" s="88" t="s">
        <v>391</v>
      </c>
      <c r="E238" s="88" t="s">
        <v>392</v>
      </c>
      <c r="F238" s="88" t="s">
        <v>391</v>
      </c>
      <c r="G238" s="78"/>
      <c r="I238" s="158"/>
      <c r="J238" s="158"/>
      <c r="K238" s="158"/>
    </row>
    <row r="239" spans="1:11" x14ac:dyDescent="0.2">
      <c r="B239" s="87" t="s">
        <v>38</v>
      </c>
      <c r="C239" s="299">
        <v>632.6</v>
      </c>
      <c r="D239" s="297">
        <v>4.5999999999999996</v>
      </c>
      <c r="E239" s="299">
        <v>633.20000000000005</v>
      </c>
      <c r="F239" s="297">
        <v>-10.1</v>
      </c>
      <c r="G239" s="78"/>
      <c r="I239" s="158"/>
      <c r="J239" s="158"/>
      <c r="K239" s="158"/>
    </row>
    <row r="240" spans="1:11" x14ac:dyDescent="0.2">
      <c r="B240" s="87" t="s">
        <v>41</v>
      </c>
      <c r="C240" s="299">
        <v>620.70000000000005</v>
      </c>
      <c r="D240" s="297">
        <v>5</v>
      </c>
      <c r="E240" s="299">
        <v>698.9</v>
      </c>
      <c r="F240" s="297">
        <v>4</v>
      </c>
      <c r="G240" s="78"/>
      <c r="I240" s="332"/>
      <c r="J240" s="332"/>
      <c r="K240" s="332"/>
    </row>
    <row r="241" spans="2:9" ht="15" x14ac:dyDescent="0.25">
      <c r="B241" s="162" t="s">
        <v>396</v>
      </c>
      <c r="C241" s="88" t="s">
        <v>241</v>
      </c>
      <c r="D241" s="88" t="s">
        <v>391</v>
      </c>
      <c r="E241" s="88" t="s">
        <v>392</v>
      </c>
      <c r="F241" s="88" t="s">
        <v>391</v>
      </c>
      <c r="G241" s="78"/>
    </row>
    <row r="242" spans="2:9" x14ac:dyDescent="0.2">
      <c r="B242" s="87" t="s">
        <v>38</v>
      </c>
      <c r="C242" s="298">
        <v>378.1</v>
      </c>
      <c r="D242" s="297">
        <v>5.3</v>
      </c>
      <c r="E242" s="299">
        <v>415</v>
      </c>
      <c r="F242" s="297">
        <v>3.2</v>
      </c>
      <c r="G242" s="78"/>
      <c r="I242" s="455"/>
    </row>
    <row r="243" spans="2:9" x14ac:dyDescent="0.2">
      <c r="B243" s="87" t="s">
        <v>41</v>
      </c>
      <c r="C243" s="298">
        <v>458.5</v>
      </c>
      <c r="D243" s="297">
        <v>3.5</v>
      </c>
      <c r="E243" s="299">
        <v>510.4</v>
      </c>
      <c r="F243" s="297">
        <v>3.8</v>
      </c>
      <c r="G243" s="78"/>
    </row>
    <row r="244" spans="2:9" ht="15" x14ac:dyDescent="0.25">
      <c r="B244" s="206" t="s">
        <v>397</v>
      </c>
      <c r="G244" s="78"/>
    </row>
    <row r="245" spans="2:9" ht="15" thickBot="1" x14ac:dyDescent="0.25">
      <c r="B245" s="116"/>
      <c r="C245" s="81"/>
      <c r="D245" s="81"/>
      <c r="E245" s="81"/>
      <c r="F245" s="81"/>
      <c r="G245" s="82"/>
    </row>
    <row r="246" spans="2:9" x14ac:dyDescent="0.2">
      <c r="B246" s="357"/>
      <c r="C246" s="357"/>
      <c r="D246" s="357"/>
      <c r="E246" s="357"/>
      <c r="F246" s="357"/>
      <c r="G246" s="357"/>
    </row>
    <row r="247" spans="2:9" ht="15" thickBot="1" x14ac:dyDescent="0.25"/>
    <row r="248" spans="2:9" ht="15" x14ac:dyDescent="0.25">
      <c r="B248" s="456" t="s">
        <v>790</v>
      </c>
      <c r="C248" s="76"/>
      <c r="D248" s="76"/>
      <c r="E248" s="76"/>
      <c r="F248" s="77"/>
    </row>
    <row r="249" spans="2:9" x14ac:dyDescent="0.2">
      <c r="B249" s="87"/>
      <c r="C249" s="88">
        <v>2020</v>
      </c>
      <c r="D249" s="88">
        <v>2016</v>
      </c>
      <c r="E249" s="88" t="s">
        <v>402</v>
      </c>
      <c r="F249" s="89" t="s">
        <v>403</v>
      </c>
    </row>
    <row r="250" spans="2:9" x14ac:dyDescent="0.2">
      <c r="B250" s="87" t="s">
        <v>38</v>
      </c>
      <c r="C250" s="300">
        <v>4</v>
      </c>
      <c r="D250" s="300">
        <v>1</v>
      </c>
      <c r="E250" s="300">
        <v>126</v>
      </c>
      <c r="F250" s="301">
        <v>3</v>
      </c>
    </row>
    <row r="251" spans="2:9" ht="15.75" thickBot="1" x14ac:dyDescent="0.3">
      <c r="B251" s="216" t="s">
        <v>404</v>
      </c>
      <c r="C251" s="81"/>
      <c r="D251" s="81"/>
      <c r="E251" s="81"/>
      <c r="F251" s="82"/>
    </row>
    <row r="260" spans="5:5" x14ac:dyDescent="0.2">
      <c r="E260" s="164"/>
    </row>
  </sheetData>
  <mergeCells count="15">
    <mergeCell ref="I203:K203"/>
    <mergeCell ref="C197:E197"/>
    <mergeCell ref="F197:H197"/>
    <mergeCell ref="L197:N197"/>
    <mergeCell ref="B2:H2"/>
    <mergeCell ref="B3:H3"/>
    <mergeCell ref="I196:K196"/>
    <mergeCell ref="I197:K197"/>
    <mergeCell ref="L182:N182"/>
    <mergeCell ref="C189:D189"/>
    <mergeCell ref="E189:F189"/>
    <mergeCell ref="I181:K181"/>
    <mergeCell ref="C182:E182"/>
    <mergeCell ref="F182:H182"/>
    <mergeCell ref="I182:K182"/>
  </mergeCells>
  <phoneticPr fontId="14" type="noConversion"/>
  <conditionalFormatting sqref="C177:F177">
    <cfRule type="colorScale" priority="76">
      <colorScale>
        <cfvo type="min"/>
        <cfvo type="percentile" val="50"/>
        <cfvo type="max"/>
        <color rgb="FFF8696B"/>
        <color rgb="FFFFEB84"/>
        <color rgb="FF63BE7B"/>
      </colorScale>
    </cfRule>
  </conditionalFormatting>
  <conditionalFormatting sqref="C205:S205">
    <cfRule type="colorScale" priority="58">
      <colorScale>
        <cfvo type="min"/>
        <cfvo type="percentile" val="50"/>
        <cfvo type="max"/>
        <color rgb="FFF8696B"/>
        <color rgb="FFFFEB84"/>
        <color rgb="FF63BE7B"/>
      </colorScale>
    </cfRule>
  </conditionalFormatting>
  <conditionalFormatting sqref="C211:S212">
    <cfRule type="colorScale" priority="44">
      <colorScale>
        <cfvo type="min"/>
        <cfvo type="percentile" val="50"/>
        <cfvo type="max"/>
        <color rgb="FFF8696B"/>
        <color rgb="FFFFEB84"/>
        <color rgb="FF63BE7B"/>
      </colorScale>
    </cfRule>
  </conditionalFormatting>
  <conditionalFormatting sqref="E159:F159">
    <cfRule type="colorScale" priority="129">
      <colorScale>
        <cfvo type="min"/>
        <cfvo type="percentile" val="50"/>
        <cfvo type="max"/>
        <color rgb="FFF8696B"/>
        <color rgb="FFFFEB84"/>
        <color rgb="FF63BE7B"/>
      </colorScale>
    </cfRule>
  </conditionalFormatting>
  <conditionalFormatting sqref="C231">
    <cfRule type="colorScale" priority="131">
      <colorScale>
        <cfvo type="min"/>
        <cfvo type="percentile" val="50"/>
        <cfvo type="max"/>
        <color rgb="FFF8696B"/>
        <color rgb="FFFFEB84"/>
        <color rgb="FF63BE7B"/>
      </colorScale>
    </cfRule>
  </conditionalFormatting>
  <conditionalFormatting sqref="C236">
    <cfRule type="colorScale" priority="32">
      <colorScale>
        <cfvo type="min"/>
        <cfvo type="percentile" val="50"/>
        <cfvo type="max"/>
        <color rgb="FFF8696B"/>
        <color rgb="FFFFEB84"/>
        <color rgb="FF63BE7B"/>
      </colorScale>
    </cfRule>
  </conditionalFormatting>
  <conditionalFormatting sqref="E236">
    <cfRule type="colorScale" priority="33">
      <colorScale>
        <cfvo type="min"/>
        <cfvo type="percentile" val="50"/>
        <cfvo type="max"/>
        <color rgb="FFF8696B"/>
        <color rgb="FFFFEB84"/>
        <color rgb="FF63BE7B"/>
      </colorScale>
    </cfRule>
  </conditionalFormatting>
  <conditionalFormatting sqref="C239">
    <cfRule type="colorScale" priority="30">
      <colorScale>
        <cfvo type="min"/>
        <cfvo type="percentile" val="50"/>
        <cfvo type="max"/>
        <color rgb="FFF8696B"/>
        <color rgb="FFFFEB84"/>
        <color rgb="FF63BE7B"/>
      </colorScale>
    </cfRule>
  </conditionalFormatting>
  <conditionalFormatting sqref="E239">
    <cfRule type="colorScale" priority="31">
      <colorScale>
        <cfvo type="min"/>
        <cfvo type="percentile" val="50"/>
        <cfvo type="max"/>
        <color rgb="FFF8696B"/>
        <color rgb="FFFFEB84"/>
        <color rgb="FF63BE7B"/>
      </colorScale>
    </cfRule>
  </conditionalFormatting>
  <conditionalFormatting sqref="C242">
    <cfRule type="colorScale" priority="28">
      <colorScale>
        <cfvo type="min"/>
        <cfvo type="percentile" val="50"/>
        <cfvo type="max"/>
        <color rgb="FFF8696B"/>
        <color rgb="FFFFEB84"/>
        <color rgb="FF63BE7B"/>
      </colorScale>
    </cfRule>
  </conditionalFormatting>
  <conditionalFormatting sqref="E242">
    <cfRule type="colorScale" priority="29">
      <colorScale>
        <cfvo type="min"/>
        <cfvo type="percentile" val="50"/>
        <cfvo type="max"/>
        <color rgb="FFF8696B"/>
        <color rgb="FFFFEB84"/>
        <color rgb="FF63BE7B"/>
      </colorScale>
    </cfRule>
  </conditionalFormatting>
  <conditionalFormatting sqref="F250">
    <cfRule type="colorScale" priority="143">
      <colorScale>
        <cfvo type="min"/>
        <cfvo type="percentile" val="50"/>
        <cfvo type="max"/>
        <color rgb="FF63BE7B"/>
        <color rgb="FFFFEB84"/>
        <color rgb="FFF8696B"/>
      </colorScale>
    </cfRule>
  </conditionalFormatting>
  <conditionalFormatting sqref="C233">
    <cfRule type="colorScale" priority="23">
      <colorScale>
        <cfvo type="min"/>
        <cfvo type="percentile" val="50"/>
        <cfvo type="max"/>
        <color rgb="FFF8696B"/>
        <color rgb="FFFFEB84"/>
        <color rgb="FF63BE7B"/>
      </colorScale>
    </cfRule>
  </conditionalFormatting>
  <conditionalFormatting sqref="E233">
    <cfRule type="colorScale" priority="24">
      <colorScale>
        <cfvo type="min"/>
        <cfvo type="percentile" val="50"/>
        <cfvo type="max"/>
        <color rgb="FFF8696B"/>
        <color rgb="FFFFEB84"/>
        <color rgb="FF63BE7B"/>
      </colorScale>
    </cfRule>
  </conditionalFormatting>
  <conditionalFormatting sqref="C229">
    <cfRule type="colorScale" priority="22">
      <colorScale>
        <cfvo type="min"/>
        <cfvo type="percentile" val="50"/>
        <cfvo type="max"/>
        <color rgb="FFF8696B"/>
        <color rgb="FFFFEB84"/>
        <color rgb="FF63BE7B"/>
      </colorScale>
    </cfRule>
  </conditionalFormatting>
  <conditionalFormatting sqref="C206:S206">
    <cfRule type="colorScale" priority="19">
      <colorScale>
        <cfvo type="min"/>
        <cfvo type="percentile" val="50"/>
        <cfvo type="max"/>
        <color rgb="FFF8696B"/>
        <color rgb="FFFFEB84"/>
        <color rgb="FF63BE7B"/>
      </colorScale>
    </cfRule>
  </conditionalFormatting>
  <conditionalFormatting sqref="E231 E229">
    <cfRule type="colorScale" priority="169">
      <colorScale>
        <cfvo type="min"/>
        <cfvo type="percentile" val="50"/>
        <cfvo type="max"/>
        <color rgb="FFF8696B"/>
        <color rgb="FFFFEB84"/>
        <color rgb="FF63BE7B"/>
      </colorScale>
    </cfRule>
  </conditionalFormatting>
  <conditionalFormatting sqref="C230">
    <cfRule type="colorScale" priority="14">
      <colorScale>
        <cfvo type="min"/>
        <cfvo type="percentile" val="50"/>
        <cfvo type="max"/>
        <color rgb="FFF8696B"/>
        <color rgb="FFFFEB84"/>
        <color rgb="FF63BE7B"/>
      </colorScale>
    </cfRule>
  </conditionalFormatting>
  <conditionalFormatting sqref="E230">
    <cfRule type="colorScale" priority="15">
      <colorScale>
        <cfvo type="min"/>
        <cfvo type="percentile" val="50"/>
        <cfvo type="max"/>
        <color rgb="FFF8696B"/>
        <color rgb="FFFFEB84"/>
        <color rgb="FF63BE7B"/>
      </colorScale>
    </cfRule>
  </conditionalFormatting>
  <conditionalFormatting sqref="C234">
    <cfRule type="colorScale" priority="12">
      <colorScale>
        <cfvo type="min"/>
        <cfvo type="percentile" val="50"/>
        <cfvo type="max"/>
        <color rgb="FFF8696B"/>
        <color rgb="FFFFEB84"/>
        <color rgb="FF63BE7B"/>
      </colorScale>
    </cfRule>
  </conditionalFormatting>
  <conditionalFormatting sqref="E234">
    <cfRule type="colorScale" priority="13">
      <colorScale>
        <cfvo type="min"/>
        <cfvo type="percentile" val="50"/>
        <cfvo type="max"/>
        <color rgb="FFF8696B"/>
        <color rgb="FFFFEB84"/>
        <color rgb="FF63BE7B"/>
      </colorScale>
    </cfRule>
  </conditionalFormatting>
  <conditionalFormatting sqref="C237">
    <cfRule type="colorScale" priority="10">
      <colorScale>
        <cfvo type="min"/>
        <cfvo type="percentile" val="50"/>
        <cfvo type="max"/>
        <color rgb="FFF8696B"/>
        <color rgb="FFFFEB84"/>
        <color rgb="FF63BE7B"/>
      </colorScale>
    </cfRule>
  </conditionalFormatting>
  <conditionalFormatting sqref="E237">
    <cfRule type="colorScale" priority="11">
      <colorScale>
        <cfvo type="min"/>
        <cfvo type="percentile" val="50"/>
        <cfvo type="max"/>
        <color rgb="FFF8696B"/>
        <color rgb="FFFFEB84"/>
        <color rgb="FF63BE7B"/>
      </colorScale>
    </cfRule>
  </conditionalFormatting>
  <conditionalFormatting sqref="C240">
    <cfRule type="colorScale" priority="8">
      <colorScale>
        <cfvo type="min"/>
        <cfvo type="percentile" val="50"/>
        <cfvo type="max"/>
        <color rgb="FFF8696B"/>
        <color rgb="FFFFEB84"/>
        <color rgb="FF63BE7B"/>
      </colorScale>
    </cfRule>
  </conditionalFormatting>
  <conditionalFormatting sqref="E240">
    <cfRule type="colorScale" priority="9">
      <colorScale>
        <cfvo type="min"/>
        <cfvo type="percentile" val="50"/>
        <cfvo type="max"/>
        <color rgb="FFF8696B"/>
        <color rgb="FFFFEB84"/>
        <color rgb="FF63BE7B"/>
      </colorScale>
    </cfRule>
  </conditionalFormatting>
  <conditionalFormatting sqref="C243">
    <cfRule type="colorScale" priority="6">
      <colorScale>
        <cfvo type="min"/>
        <cfvo type="percentile" val="50"/>
        <cfvo type="max"/>
        <color rgb="FFF8696B"/>
        <color rgb="FFFFEB84"/>
        <color rgb="FF63BE7B"/>
      </colorScale>
    </cfRule>
  </conditionalFormatting>
  <conditionalFormatting sqref="E243">
    <cfRule type="colorScale" priority="7">
      <colorScale>
        <cfvo type="min"/>
        <cfvo type="percentile" val="50"/>
        <cfvo type="max"/>
        <color rgb="FFF8696B"/>
        <color rgb="FFFFEB84"/>
        <color rgb="FF63BE7B"/>
      </colorScale>
    </cfRule>
  </conditionalFormatting>
  <conditionalFormatting sqref="G153:H153">
    <cfRule type="colorScale" priority="3">
      <colorScale>
        <cfvo type="min"/>
        <cfvo type="percentile" val="50"/>
        <cfvo type="max"/>
        <color rgb="FF63BE7B"/>
        <color rgb="FFFFEB84"/>
        <color rgb="FFF8696B"/>
      </colorScale>
    </cfRule>
  </conditionalFormatting>
  <conditionalFormatting sqref="G148:H152">
    <cfRule type="colorScale" priority="2">
      <colorScale>
        <cfvo type="min"/>
        <cfvo type="percentile" val="50"/>
        <cfvo type="max"/>
        <color rgb="FF63BE7B"/>
        <color rgb="FFFFEB84"/>
        <color rgb="FFF8696B"/>
      </colorScale>
    </cfRule>
  </conditionalFormatting>
  <conditionalFormatting sqref="I154:I155">
    <cfRule type="colorScale" priority="170">
      <colorScale>
        <cfvo type="min"/>
        <cfvo type="percentile" val="50"/>
        <cfvo type="max"/>
        <color rgb="FF63BE7B"/>
        <color rgb="FFFFEB84"/>
        <color rgb="FFF8696B"/>
      </colorScale>
    </cfRule>
  </conditionalFormatting>
  <hyperlinks>
    <hyperlink ref="B162" r:id="rId1" display="https://www.gov.scot/publications/scottish-annual-business-statistics-2018/" xr:uid="{299841D0-00FA-4A75-937E-54995CD72B80}"/>
    <hyperlink ref="B179" r:id="rId2" display="https://www.gov.scot/publications/scottish-annual-business-statistics-2018/" xr:uid="{96046FCB-E4FE-4982-934F-6D828FA79BE0}"/>
    <hyperlink ref="B27" r:id="rId3" xr:uid="{E5C88E9C-9FD6-4ABF-B3EC-51BCBB913775}"/>
    <hyperlink ref="B49" r:id="rId4" xr:uid="{606DAB76-85C9-4333-98F3-86C4B5C08AD9}"/>
    <hyperlink ref="B95" r:id="rId5" xr:uid="{FEE3FED6-B95D-4753-B231-8D43FE4D9071}"/>
    <hyperlink ref="B207" r:id="rId6" xr:uid="{2FBCAE1A-31CA-4BFB-8387-FF7CE1431C25}"/>
    <hyperlink ref="B224" r:id="rId7" xr:uid="{C74A4123-7606-4ADA-9C3C-44C19A3FABAC}"/>
    <hyperlink ref="B244" r:id="rId8" xr:uid="{1897D609-94B0-4211-9DFE-8B7FB3C69952}"/>
    <hyperlink ref="B251" r:id="rId9" location="/simd2016_20pc/BTTTFTT/10/-3.2670/57.4769/" xr:uid="{09582D47-3909-4F6E-9CE4-090BF03DAE44}"/>
    <hyperlink ref="B72" r:id="rId10" xr:uid="{E31E108F-3319-4B48-8030-DA36BD499504}"/>
    <hyperlink ref="B118" r:id="rId11" xr:uid="{E9005726-77BA-4F8D-BD96-F38691026A16}"/>
    <hyperlink ref="B143" r:id="rId12" xr:uid="{6F298CA2-5406-47C0-BEAB-431C8B986F01}"/>
    <hyperlink ref="B201" r:id="rId13" display="https://www.ons.gov.uk/employmentandlabourmarket/peopleinwork/employmentandemployeetypes/datasets/localauthoritydistrictbusinessregisterandemploymentsurveybrestable6" xr:uid="{DA550C19-BEA1-4417-87D1-F202FA553D70}"/>
    <hyperlink ref="B213" r:id="rId14" xr:uid="{A381EDF0-4339-4940-975E-CB392458FBAA}"/>
    <hyperlink ref="B154" r:id="rId15" xr:uid="{01E5E406-9391-4A16-9311-F3E2E0028CEE}"/>
  </hyperlinks>
  <pageMargins left="0.7" right="0.7" top="0.75" bottom="0.75" header="0.3" footer="0.3"/>
  <pageSetup paperSize="9" orientation="portrait" r:id="rId16"/>
  <drawing r:id="rId1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C891C-3522-4B31-BA6F-6E923B9BA2A2}">
  <sheetPr>
    <tabColor rgb="FFFFC000"/>
  </sheetPr>
  <dimension ref="A1:AI77"/>
  <sheetViews>
    <sheetView tabSelected="1" zoomScale="85" zoomScaleNormal="85" workbookViewId="0">
      <selection activeCell="L41" sqref="L41"/>
    </sheetView>
  </sheetViews>
  <sheetFormatPr defaultRowHeight="14.25" x14ac:dyDescent="0.2"/>
  <cols>
    <col min="1" max="1" width="20.28515625" style="461" customWidth="1"/>
    <col min="2" max="2" width="11.7109375" style="461" customWidth="1"/>
    <col min="3" max="3" width="16.42578125" style="461" bestFit="1" customWidth="1"/>
    <col min="4" max="8" width="11.7109375" style="461" customWidth="1"/>
    <col min="9" max="9" width="9.140625" style="461"/>
    <col min="10" max="10" width="16.5703125" style="461" bestFit="1" customWidth="1"/>
    <col min="11" max="11" width="9.5703125" style="461" bestFit="1" customWidth="1"/>
    <col min="12" max="12" width="16.42578125" style="461" bestFit="1" customWidth="1"/>
    <col min="13" max="15" width="9.5703125" style="461" bestFit="1" customWidth="1"/>
    <col min="16" max="16" width="10.28515625" style="461" bestFit="1" customWidth="1"/>
    <col min="17" max="17" width="13.140625" style="461" bestFit="1" customWidth="1"/>
    <col min="18" max="18" width="9.140625" style="461"/>
    <col min="19" max="19" width="19.85546875" style="461" customWidth="1"/>
    <col min="20" max="20" width="23.85546875" style="461" customWidth="1"/>
    <col min="21" max="22" width="16.42578125" style="461" bestFit="1" customWidth="1"/>
    <col min="23" max="24" width="9.5703125" style="461" bestFit="1" customWidth="1"/>
    <col min="25" max="26" width="10.28515625" style="461" bestFit="1" customWidth="1"/>
    <col min="27" max="27" width="13.140625" style="461" bestFit="1" customWidth="1"/>
    <col min="28" max="28" width="23.7109375" style="461" customWidth="1"/>
    <col min="29" max="29" width="11.42578125" style="461" customWidth="1"/>
    <col min="30" max="30" width="17.5703125" style="461" customWidth="1"/>
    <col min="31" max="31" width="14.85546875" style="461" customWidth="1"/>
    <col min="32" max="33" width="9.5703125" style="461" bestFit="1" customWidth="1"/>
    <col min="34" max="34" width="10.28515625" style="461" bestFit="1" customWidth="1"/>
    <col min="35" max="35" width="13.140625" style="461" bestFit="1" customWidth="1"/>
    <col min="36" max="36" width="10.28515625" style="461" bestFit="1" customWidth="1"/>
    <col min="37" max="37" width="13.140625" style="461" bestFit="1" customWidth="1"/>
    <col min="38" max="16384" width="9.140625" style="461"/>
  </cols>
  <sheetData>
    <row r="1" spans="1:35" ht="15" x14ac:dyDescent="0.25">
      <c r="A1" s="460" t="s">
        <v>926</v>
      </c>
      <c r="J1" s="460" t="s">
        <v>927</v>
      </c>
      <c r="S1" s="460" t="s">
        <v>928</v>
      </c>
      <c r="AB1" s="460" t="s">
        <v>929</v>
      </c>
    </row>
    <row r="2" spans="1:35" x14ac:dyDescent="0.2">
      <c r="A2" s="462"/>
      <c r="B2" s="463"/>
      <c r="C2" s="462"/>
      <c r="D2" s="462"/>
      <c r="E2" s="462"/>
      <c r="F2" s="462"/>
      <c r="G2" s="462"/>
      <c r="H2" s="462"/>
      <c r="I2" s="462"/>
      <c r="J2" s="462"/>
      <c r="K2" s="463"/>
      <c r="L2" s="462"/>
      <c r="M2" s="462"/>
      <c r="N2" s="462"/>
      <c r="O2" s="462"/>
      <c r="P2" s="462"/>
      <c r="Q2" s="464"/>
      <c r="R2" s="464"/>
      <c r="S2" s="462"/>
      <c r="T2" s="463"/>
      <c r="U2" s="462"/>
      <c r="V2" s="462"/>
      <c r="W2" s="462"/>
      <c r="X2" s="462"/>
      <c r="Y2" s="462"/>
      <c r="Z2" s="464"/>
      <c r="AA2" s="462"/>
      <c r="AB2" s="462"/>
      <c r="AC2" s="463"/>
      <c r="AD2" s="462"/>
      <c r="AE2" s="462"/>
      <c r="AF2" s="462"/>
      <c r="AG2" s="462"/>
      <c r="AH2" s="462"/>
      <c r="AI2" s="464"/>
    </row>
    <row r="3" spans="1:35" ht="15" x14ac:dyDescent="0.25">
      <c r="A3" s="460"/>
      <c r="B3" s="497" t="s">
        <v>279</v>
      </c>
      <c r="C3" s="497" t="s">
        <v>910</v>
      </c>
      <c r="D3" s="497" t="s">
        <v>281</v>
      </c>
      <c r="E3" s="497" t="s">
        <v>282</v>
      </c>
      <c r="F3" s="497" t="s">
        <v>283</v>
      </c>
      <c r="G3" s="497" t="s">
        <v>284</v>
      </c>
      <c r="H3" s="497" t="s">
        <v>38</v>
      </c>
      <c r="I3" s="465"/>
      <c r="J3" s="466" t="s">
        <v>911</v>
      </c>
      <c r="K3" s="497" t="s">
        <v>279</v>
      </c>
      <c r="L3" s="497" t="s">
        <v>910</v>
      </c>
      <c r="M3" s="497" t="s">
        <v>281</v>
      </c>
      <c r="N3" s="497" t="s">
        <v>282</v>
      </c>
      <c r="O3" s="497" t="s">
        <v>283</v>
      </c>
      <c r="P3" s="497" t="s">
        <v>284</v>
      </c>
      <c r="Q3" s="497" t="s">
        <v>38</v>
      </c>
      <c r="R3" s="460"/>
      <c r="S3" s="466" t="s">
        <v>911</v>
      </c>
      <c r="T3" s="497" t="s">
        <v>279</v>
      </c>
      <c r="U3" s="497" t="s">
        <v>910</v>
      </c>
      <c r="V3" s="497" t="s">
        <v>281</v>
      </c>
      <c r="W3" s="497" t="s">
        <v>282</v>
      </c>
      <c r="X3" s="497" t="s">
        <v>283</v>
      </c>
      <c r="Y3" s="497" t="s">
        <v>284</v>
      </c>
      <c r="Z3" s="497" t="s">
        <v>38</v>
      </c>
      <c r="AA3" s="460"/>
      <c r="AB3" s="466" t="s">
        <v>911</v>
      </c>
      <c r="AC3" s="497" t="s">
        <v>279</v>
      </c>
      <c r="AD3" s="497" t="s">
        <v>910</v>
      </c>
      <c r="AE3" s="497" t="s">
        <v>281</v>
      </c>
      <c r="AF3" s="497" t="s">
        <v>282</v>
      </c>
      <c r="AG3" s="497" t="s">
        <v>283</v>
      </c>
      <c r="AH3" s="497" t="s">
        <v>284</v>
      </c>
      <c r="AI3" s="497" t="s">
        <v>38</v>
      </c>
    </row>
    <row r="4" spans="1:35" x14ac:dyDescent="0.2">
      <c r="A4" s="467" t="s">
        <v>279</v>
      </c>
      <c r="B4" s="468">
        <v>0.55594316948238154</v>
      </c>
      <c r="C4" s="469">
        <v>2.665109996201423E-2</v>
      </c>
      <c r="D4" s="469">
        <v>1.9912888589981859E-2</v>
      </c>
      <c r="E4" s="469">
        <v>3.5744694526373385E-3</v>
      </c>
      <c r="F4" s="469">
        <v>3.8030990196842009E-2</v>
      </c>
      <c r="G4" s="469">
        <v>1.3633751838302162E-2</v>
      </c>
      <c r="H4" s="469">
        <v>0.10912526310037501</v>
      </c>
      <c r="I4" s="470"/>
      <c r="J4" s="471" t="s">
        <v>279</v>
      </c>
      <c r="K4" s="472">
        <v>440.50364214711732</v>
      </c>
      <c r="L4" s="472">
        <v>1.0222047713717695</v>
      </c>
      <c r="M4" s="472">
        <v>47.02141948310139</v>
      </c>
      <c r="N4" s="472">
        <v>3.0666143141153079</v>
      </c>
      <c r="O4" s="472">
        <v>11.244252485089463</v>
      </c>
      <c r="P4" s="472">
        <v>4.0888190854870778</v>
      </c>
      <c r="Q4" s="472">
        <v>506.9469522862824</v>
      </c>
      <c r="R4" s="473"/>
      <c r="S4" s="471" t="s">
        <v>279</v>
      </c>
      <c r="T4" s="472">
        <v>146.83454738237245</v>
      </c>
      <c r="U4" s="472">
        <v>0.34073492379058984</v>
      </c>
      <c r="V4" s="472">
        <v>15.673806494367129</v>
      </c>
      <c r="W4" s="472">
        <v>1.0222047713717692</v>
      </c>
      <c r="X4" s="472">
        <v>3.7480841616964877</v>
      </c>
      <c r="Y4" s="472">
        <v>1.3629396951623594</v>
      </c>
      <c r="Z4" s="472">
        <v>168.98231742876081</v>
      </c>
      <c r="AB4" s="471" t="s">
        <v>279</v>
      </c>
      <c r="AC4" s="486">
        <v>0.55594316948238165</v>
      </c>
      <c r="AD4" s="485">
        <v>2.6651099962014233E-2</v>
      </c>
      <c r="AE4" s="485">
        <v>1.9912888589981859E-2</v>
      </c>
      <c r="AF4" s="485">
        <v>3.5744694526373385E-3</v>
      </c>
      <c r="AG4" s="485">
        <v>3.8030990196842009E-2</v>
      </c>
      <c r="AH4" s="485">
        <v>1.3633751838302162E-2</v>
      </c>
      <c r="AI4" s="485">
        <v>0.10912526310037501</v>
      </c>
    </row>
    <row r="5" spans="1:35" x14ac:dyDescent="0.2">
      <c r="A5" s="467" t="s">
        <v>910</v>
      </c>
      <c r="B5" s="474">
        <v>0</v>
      </c>
      <c r="C5" s="468">
        <v>0.19627132071082407</v>
      </c>
      <c r="D5" s="469">
        <v>5.3133312064039301E-4</v>
      </c>
      <c r="E5" s="469">
        <v>0</v>
      </c>
      <c r="F5" s="469">
        <v>0</v>
      </c>
      <c r="G5" s="469">
        <v>8.3671170650903917E-3</v>
      </c>
      <c r="H5" s="469">
        <v>2.4307128494848204E-3</v>
      </c>
      <c r="I5" s="470"/>
      <c r="J5" s="471" t="s">
        <v>910</v>
      </c>
      <c r="K5" s="472">
        <v>0</v>
      </c>
      <c r="L5" s="472">
        <v>7.5280000000000005</v>
      </c>
      <c r="M5" s="472">
        <v>1.2546666666666666</v>
      </c>
      <c r="N5" s="472">
        <v>0</v>
      </c>
      <c r="O5" s="472">
        <v>0</v>
      </c>
      <c r="P5" s="472">
        <v>2.5093333333333332</v>
      </c>
      <c r="Q5" s="472">
        <v>11.292000000000002</v>
      </c>
      <c r="R5" s="473"/>
      <c r="S5" s="471" t="s">
        <v>910</v>
      </c>
      <c r="T5" s="472">
        <v>0</v>
      </c>
      <c r="U5" s="472">
        <v>2.5093333333333336</v>
      </c>
      <c r="V5" s="472">
        <v>0.41822222222222222</v>
      </c>
      <c r="W5" s="472">
        <v>0</v>
      </c>
      <c r="X5" s="472">
        <v>0</v>
      </c>
      <c r="Y5" s="472">
        <v>0.83644444444444443</v>
      </c>
      <c r="Z5" s="472">
        <v>3.7640000000000007</v>
      </c>
      <c r="AB5" s="471" t="s">
        <v>910</v>
      </c>
      <c r="AC5" s="485">
        <v>0</v>
      </c>
      <c r="AD5" s="486">
        <v>0.19627132071082407</v>
      </c>
      <c r="AE5" s="485">
        <v>5.3133312064039301E-4</v>
      </c>
      <c r="AF5" s="485">
        <v>0</v>
      </c>
      <c r="AG5" s="485">
        <v>0</v>
      </c>
      <c r="AH5" s="485">
        <v>8.3671170650903917E-3</v>
      </c>
      <c r="AI5" s="485">
        <v>2.4307128494848204E-3</v>
      </c>
    </row>
    <row r="6" spans="1:35" x14ac:dyDescent="0.2">
      <c r="A6" s="467" t="s">
        <v>281</v>
      </c>
      <c r="B6" s="474">
        <v>0.11534641972857257</v>
      </c>
      <c r="C6" s="469">
        <v>0</v>
      </c>
      <c r="D6" s="468">
        <v>0.72284888594836361</v>
      </c>
      <c r="E6" s="469">
        <v>8.2857377943805516E-2</v>
      </c>
      <c r="F6" s="469">
        <v>7.2128525341971575E-2</v>
      </c>
      <c r="G6" s="469">
        <v>8.4652192830880241E-2</v>
      </c>
      <c r="H6" s="469">
        <v>0.4124585089022752</v>
      </c>
      <c r="I6" s="470"/>
      <c r="J6" s="471" t="s">
        <v>281</v>
      </c>
      <c r="K6" s="472">
        <v>91.395165528113509</v>
      </c>
      <c r="L6" s="472">
        <v>0</v>
      </c>
      <c r="M6" s="472">
        <v>1706.9035733053074</v>
      </c>
      <c r="N6" s="472">
        <v>71.08512874408828</v>
      </c>
      <c r="O6" s="472">
        <v>21.325538623226485</v>
      </c>
      <c r="P6" s="472">
        <v>25.387545980031529</v>
      </c>
      <c r="Q6" s="472">
        <v>1916.0969521807672</v>
      </c>
      <c r="R6" s="473"/>
      <c r="S6" s="471" t="s">
        <v>281</v>
      </c>
      <c r="T6" s="472">
        <v>30.465055176037836</v>
      </c>
      <c r="U6" s="472">
        <v>0</v>
      </c>
      <c r="V6" s="472">
        <v>568.96785776843581</v>
      </c>
      <c r="W6" s="472">
        <v>23.695042914696092</v>
      </c>
      <c r="X6" s="472">
        <v>7.1085128744088282</v>
      </c>
      <c r="Y6" s="472">
        <v>8.4625153266771758</v>
      </c>
      <c r="Z6" s="472">
        <v>638.69898406025573</v>
      </c>
      <c r="AB6" s="471" t="s">
        <v>281</v>
      </c>
      <c r="AC6" s="485">
        <v>0.11534641972857258</v>
      </c>
      <c r="AD6" s="485">
        <v>0</v>
      </c>
      <c r="AE6" s="486">
        <v>0.72284888594836361</v>
      </c>
      <c r="AF6" s="485">
        <v>8.2857377943805516E-2</v>
      </c>
      <c r="AG6" s="485">
        <v>7.2128525341971575E-2</v>
      </c>
      <c r="AH6" s="485">
        <v>8.4652192830880241E-2</v>
      </c>
      <c r="AI6" s="485">
        <v>0.4124585089022752</v>
      </c>
    </row>
    <row r="7" spans="1:35" x14ac:dyDescent="0.2">
      <c r="A7" s="467" t="s">
        <v>282</v>
      </c>
      <c r="B7" s="474">
        <v>1.0181972577580124E-2</v>
      </c>
      <c r="C7" s="469">
        <v>2.6292887025574776E-2</v>
      </c>
      <c r="D7" s="469">
        <v>4.5269472574442977E-2</v>
      </c>
      <c r="E7" s="468">
        <v>0.58656212679938557</v>
      </c>
      <c r="F7" s="469">
        <v>1.3643571664161611E-2</v>
      </c>
      <c r="G7" s="469">
        <v>3.3626257202341446E-3</v>
      </c>
      <c r="H7" s="469">
        <v>0.13437376237178705</v>
      </c>
      <c r="I7" s="470"/>
      <c r="J7" s="471" t="s">
        <v>282</v>
      </c>
      <c r="K7" s="472">
        <v>8.0677239165329055</v>
      </c>
      <c r="L7" s="472">
        <v>1.0084654895666132</v>
      </c>
      <c r="M7" s="472">
        <v>106.897341894061</v>
      </c>
      <c r="N7" s="472">
        <v>503.22427929373998</v>
      </c>
      <c r="O7" s="472">
        <v>4.0338619582664528</v>
      </c>
      <c r="P7" s="472">
        <v>1.0084654895666132</v>
      </c>
      <c r="Q7" s="472">
        <v>624.24013804173353</v>
      </c>
      <c r="R7" s="473"/>
      <c r="S7" s="471" t="s">
        <v>282</v>
      </c>
      <c r="T7" s="472">
        <v>2.6892413055109685</v>
      </c>
      <c r="U7" s="472">
        <v>0.33615516318887106</v>
      </c>
      <c r="V7" s="472">
        <v>35.632447298020331</v>
      </c>
      <c r="W7" s="472">
        <v>167.74142643124665</v>
      </c>
      <c r="X7" s="472">
        <v>1.3446206527554843</v>
      </c>
      <c r="Y7" s="472">
        <v>0.33615516318887106</v>
      </c>
      <c r="Z7" s="472">
        <v>208.08004601391119</v>
      </c>
      <c r="AB7" s="471" t="s">
        <v>282</v>
      </c>
      <c r="AC7" s="485">
        <v>1.0181972577580124E-2</v>
      </c>
      <c r="AD7" s="485">
        <v>2.6292887025574779E-2</v>
      </c>
      <c r="AE7" s="485">
        <v>4.526947257444297E-2</v>
      </c>
      <c r="AF7" s="486">
        <v>0.58656212679938557</v>
      </c>
      <c r="AG7" s="485">
        <v>1.3643571664161611E-2</v>
      </c>
      <c r="AH7" s="485">
        <v>3.3626257202341446E-3</v>
      </c>
      <c r="AI7" s="485">
        <v>0.13437376237178705</v>
      </c>
    </row>
    <row r="8" spans="1:35" x14ac:dyDescent="0.2">
      <c r="A8" s="467" t="s">
        <v>283</v>
      </c>
      <c r="B8" s="474">
        <v>2.3919662009254553E-2</v>
      </c>
      <c r="C8" s="469">
        <v>2.7452308636980921E-2</v>
      </c>
      <c r="D8" s="469">
        <v>9.8098608643065795E-3</v>
      </c>
      <c r="E8" s="469">
        <v>3.6819282794001511E-3</v>
      </c>
      <c r="F8" s="468">
        <v>0.56214843746652532</v>
      </c>
      <c r="G8" s="469">
        <v>5.1075018062246014E-2</v>
      </c>
      <c r="H8" s="469">
        <v>4.9047297775079789E-2</v>
      </c>
      <c r="I8" s="470"/>
      <c r="J8" s="471" t="s">
        <v>283</v>
      </c>
      <c r="K8" s="472">
        <v>18.952833333333334</v>
      </c>
      <c r="L8" s="472">
        <v>1.0529351851851851</v>
      </c>
      <c r="M8" s="472">
        <v>23.164574074074075</v>
      </c>
      <c r="N8" s="472">
        <v>3.1588055555555554</v>
      </c>
      <c r="O8" s="472">
        <v>166.20495370370369</v>
      </c>
      <c r="P8" s="472">
        <v>15.317611111111111</v>
      </c>
      <c r="Q8" s="472">
        <v>227.85171296296295</v>
      </c>
      <c r="R8" s="473"/>
      <c r="S8" s="471" t="s">
        <v>283</v>
      </c>
      <c r="T8" s="472">
        <v>6.3176111111111117</v>
      </c>
      <c r="U8" s="472">
        <v>0.3509783950617284</v>
      </c>
      <c r="V8" s="472">
        <v>7.7215246913580247</v>
      </c>
      <c r="W8" s="472">
        <v>1.0529351851851851</v>
      </c>
      <c r="X8" s="472">
        <v>55.4016512345679</v>
      </c>
      <c r="Y8" s="472">
        <v>5.1058703703703703</v>
      </c>
      <c r="Z8" s="472">
        <v>75.950570987654316</v>
      </c>
      <c r="AB8" s="471" t="s">
        <v>283</v>
      </c>
      <c r="AC8" s="485">
        <v>2.3919662009254553E-2</v>
      </c>
      <c r="AD8" s="485">
        <v>2.7452308636980925E-2</v>
      </c>
      <c r="AE8" s="485">
        <v>9.8098608643065778E-3</v>
      </c>
      <c r="AF8" s="485">
        <v>3.6819282794001516E-3</v>
      </c>
      <c r="AG8" s="486">
        <v>0.56214843746652532</v>
      </c>
      <c r="AH8" s="485">
        <v>5.1075018062246014E-2</v>
      </c>
      <c r="AI8" s="485">
        <v>4.9047297775079789E-2</v>
      </c>
    </row>
    <row r="9" spans="1:35" x14ac:dyDescent="0.2">
      <c r="A9" s="467" t="s">
        <v>284</v>
      </c>
      <c r="B9" s="474">
        <v>2.0475457276591297E-2</v>
      </c>
      <c r="C9" s="469">
        <v>5.2873731574942615E-2</v>
      </c>
      <c r="D9" s="469">
        <v>2.2329274050615376E-2</v>
      </c>
      <c r="E9" s="469">
        <v>4.7276482304283562E-3</v>
      </c>
      <c r="F9" s="469">
        <v>2.4006995772035369E-2</v>
      </c>
      <c r="G9" s="468">
        <v>0.54772836977557027</v>
      </c>
      <c r="H9" s="469">
        <v>5.3039789614658966E-2</v>
      </c>
      <c r="I9" s="470"/>
      <c r="J9" s="471" t="s">
        <v>284</v>
      </c>
      <c r="K9" s="472">
        <v>16.223804878048782</v>
      </c>
      <c r="L9" s="472">
        <v>2.0279756097560977</v>
      </c>
      <c r="M9" s="472">
        <v>52.72736585365854</v>
      </c>
      <c r="N9" s="472">
        <v>4.0559512195121954</v>
      </c>
      <c r="O9" s="472">
        <v>7.0979146341463411</v>
      </c>
      <c r="P9" s="472">
        <v>164.2660243902439</v>
      </c>
      <c r="Q9" s="472">
        <v>246.39903658536585</v>
      </c>
      <c r="R9" s="473"/>
      <c r="S9" s="471" t="s">
        <v>284</v>
      </c>
      <c r="T9" s="472">
        <v>5.4079349593495936</v>
      </c>
      <c r="U9" s="472">
        <v>0.6759918699186992</v>
      </c>
      <c r="V9" s="472">
        <v>17.575788617886179</v>
      </c>
      <c r="W9" s="472">
        <v>1.3519837398373984</v>
      </c>
      <c r="X9" s="472">
        <v>2.365971544715447</v>
      </c>
      <c r="Y9" s="472">
        <v>54.755341463414631</v>
      </c>
      <c r="Z9" s="472">
        <v>82.13301219512195</v>
      </c>
      <c r="AB9" s="471" t="s">
        <v>284</v>
      </c>
      <c r="AC9" s="485">
        <v>2.0475457276591297E-2</v>
      </c>
      <c r="AD9" s="485">
        <v>5.2873731574942615E-2</v>
      </c>
      <c r="AE9" s="485">
        <v>2.2329274050615376E-2</v>
      </c>
      <c r="AF9" s="485">
        <v>4.7276482304283562E-3</v>
      </c>
      <c r="AG9" s="485">
        <v>2.4006995772035369E-2</v>
      </c>
      <c r="AH9" s="486">
        <v>0.54772836977557027</v>
      </c>
      <c r="AI9" s="485">
        <v>5.3039789614658966E-2</v>
      </c>
    </row>
    <row r="10" spans="1:35" x14ac:dyDescent="0.2">
      <c r="A10" s="467" t="s">
        <v>535</v>
      </c>
      <c r="B10" s="474">
        <v>1.6843165157070492E-2</v>
      </c>
      <c r="C10" s="469">
        <v>0.1070623287165901</v>
      </c>
      <c r="D10" s="469">
        <v>2.8693394125975054E-2</v>
      </c>
      <c r="E10" s="469">
        <v>9.8121853550233826E-2</v>
      </c>
      <c r="F10" s="469">
        <v>1.3888856641684185E-2</v>
      </c>
      <c r="G10" s="469">
        <v>4.7923108995652205E-2</v>
      </c>
      <c r="H10" s="469">
        <v>4.0440203915290421E-2</v>
      </c>
      <c r="I10" s="470"/>
      <c r="J10" s="471" t="s">
        <v>535</v>
      </c>
      <c r="K10" s="472">
        <v>13.345744680851064</v>
      </c>
      <c r="L10" s="472">
        <v>4.1063829787234045</v>
      </c>
      <c r="M10" s="472">
        <v>67.755319148936167</v>
      </c>
      <c r="N10" s="472">
        <v>84.180851063829792</v>
      </c>
      <c r="O10" s="472">
        <v>4.1063829787234045</v>
      </c>
      <c r="P10" s="472">
        <v>14.372340425531915</v>
      </c>
      <c r="Q10" s="472">
        <v>187.86702127659578</v>
      </c>
      <c r="R10" s="473"/>
      <c r="S10" s="471" t="s">
        <v>535</v>
      </c>
      <c r="T10" s="472">
        <v>4.4485815602836878</v>
      </c>
      <c r="U10" s="472">
        <v>1.3687943262411348</v>
      </c>
      <c r="V10" s="472">
        <v>22.585106382978722</v>
      </c>
      <c r="W10" s="472">
        <v>28.060283687943265</v>
      </c>
      <c r="X10" s="472">
        <v>1.3687943262411348</v>
      </c>
      <c r="Y10" s="472">
        <v>4.7907801418439719</v>
      </c>
      <c r="Z10" s="472">
        <v>62.622340425531924</v>
      </c>
      <c r="AB10" s="471" t="s">
        <v>535</v>
      </c>
      <c r="AC10" s="485">
        <v>1.6843165157070492E-2</v>
      </c>
      <c r="AD10" s="485">
        <v>0.1070623287165901</v>
      </c>
      <c r="AE10" s="485">
        <v>2.869339412597505E-2</v>
      </c>
      <c r="AF10" s="485">
        <v>9.812185355023384E-2</v>
      </c>
      <c r="AG10" s="485">
        <v>1.3888856641684185E-2</v>
      </c>
      <c r="AH10" s="485">
        <v>4.7923108995652205E-2</v>
      </c>
      <c r="AI10" s="485">
        <v>4.0440203915290421E-2</v>
      </c>
    </row>
    <row r="11" spans="1:35" x14ac:dyDescent="0.2">
      <c r="A11" s="467" t="s">
        <v>543</v>
      </c>
      <c r="B11" s="474">
        <v>7.8860500100709691E-2</v>
      </c>
      <c r="C11" s="469">
        <v>2.6971213773520106E-3</v>
      </c>
      <c r="D11" s="469">
        <v>2.7628777096585354E-2</v>
      </c>
      <c r="E11" s="469">
        <v>2.5256896077493554E-2</v>
      </c>
      <c r="F11" s="469">
        <v>0.11226054298865501</v>
      </c>
      <c r="G11" s="469">
        <v>5.086505365785754E-2</v>
      </c>
      <c r="H11" s="469">
        <v>4.2609435565002872E-2</v>
      </c>
      <c r="I11" s="470"/>
      <c r="J11" s="471" t="s">
        <v>543</v>
      </c>
      <c r="K11" s="472">
        <v>62.485411140583551</v>
      </c>
      <c r="L11" s="472">
        <v>0.10344827586206896</v>
      </c>
      <c r="M11" s="472">
        <v>65.241379310344826</v>
      </c>
      <c r="N11" s="472">
        <v>21.668435013262599</v>
      </c>
      <c r="O11" s="472">
        <v>33.190981432360743</v>
      </c>
      <c r="P11" s="472">
        <v>15.254641909814323</v>
      </c>
      <c r="Q11" s="472">
        <v>197.9442970822281</v>
      </c>
      <c r="R11" s="473"/>
      <c r="S11" s="471" t="s">
        <v>543</v>
      </c>
      <c r="T11" s="472">
        <v>20.828470380194517</v>
      </c>
      <c r="U11" s="472">
        <v>3.4482758620689655E-2</v>
      </c>
      <c r="V11" s="472">
        <v>21.74712643678161</v>
      </c>
      <c r="W11" s="472">
        <v>7.2228116710875332</v>
      </c>
      <c r="X11" s="472">
        <v>11.063660477453581</v>
      </c>
      <c r="Y11" s="472">
        <v>5.0848806366047743</v>
      </c>
      <c r="Z11" s="472">
        <v>65.981432360742701</v>
      </c>
      <c r="AB11" s="471" t="s">
        <v>543</v>
      </c>
      <c r="AC11" s="485">
        <v>7.8860500100709705E-2</v>
      </c>
      <c r="AD11" s="485">
        <v>2.6971213773520106E-3</v>
      </c>
      <c r="AE11" s="485">
        <v>2.7628777096585354E-2</v>
      </c>
      <c r="AF11" s="485">
        <v>2.5256896077493558E-2</v>
      </c>
      <c r="AG11" s="485">
        <v>0.11226054298865501</v>
      </c>
      <c r="AH11" s="485">
        <v>5.086505365785754E-2</v>
      </c>
      <c r="AI11" s="485">
        <v>4.2609435565002872E-2</v>
      </c>
    </row>
    <row r="12" spans="1:35" x14ac:dyDescent="0.2">
      <c r="A12" s="467" t="s">
        <v>912</v>
      </c>
      <c r="B12" s="474">
        <v>7.8458224622984657E-2</v>
      </c>
      <c r="C12" s="468">
        <v>0.34907743159839266</v>
      </c>
      <c r="D12" s="469">
        <v>6.7106764572556432E-2</v>
      </c>
      <c r="E12" s="469">
        <v>0.10078190089736982</v>
      </c>
      <c r="F12" s="469">
        <v>8.1174250216682689E-2</v>
      </c>
      <c r="G12" s="469">
        <v>0.10799745946129337</v>
      </c>
      <c r="H12" s="469">
        <v>8.1125013447517061E-2</v>
      </c>
      <c r="I12" s="470"/>
      <c r="J12" s="471" t="s">
        <v>912</v>
      </c>
      <c r="K12" s="472">
        <v>62.166666666666664</v>
      </c>
      <c r="L12" s="472">
        <v>13.388888888888889</v>
      </c>
      <c r="M12" s="472">
        <v>158.46296296296296</v>
      </c>
      <c r="N12" s="472">
        <v>86.462962962962962</v>
      </c>
      <c r="O12" s="472">
        <v>24</v>
      </c>
      <c r="P12" s="472">
        <v>32.388888888888886</v>
      </c>
      <c r="Q12" s="472">
        <v>376.87037037037044</v>
      </c>
      <c r="R12" s="473"/>
      <c r="S12" s="471" t="s">
        <v>912</v>
      </c>
      <c r="T12" s="472">
        <v>20.722222222222221</v>
      </c>
      <c r="U12" s="472">
        <v>4.4629629629629628</v>
      </c>
      <c r="V12" s="472">
        <v>52.820987654320987</v>
      </c>
      <c r="W12" s="472">
        <v>28.820987654320987</v>
      </c>
      <c r="X12" s="472">
        <v>8</v>
      </c>
      <c r="Y12" s="472">
        <v>10.796296296296296</v>
      </c>
      <c r="Z12" s="472">
        <v>125.62345679012348</v>
      </c>
      <c r="AB12" s="471" t="s">
        <v>912</v>
      </c>
      <c r="AC12" s="485">
        <v>7.8458224622984671E-2</v>
      </c>
      <c r="AD12" s="486">
        <v>0.34907743159839261</v>
      </c>
      <c r="AE12" s="485">
        <v>6.7106764572556432E-2</v>
      </c>
      <c r="AF12" s="485">
        <v>0.10078190089736982</v>
      </c>
      <c r="AG12" s="485">
        <v>8.1174250216682689E-2</v>
      </c>
      <c r="AH12" s="485">
        <v>0.10799745946129337</v>
      </c>
      <c r="AI12" s="485">
        <v>8.1125013447517061E-2</v>
      </c>
    </row>
    <row r="13" spans="1:35" x14ac:dyDescent="0.2">
      <c r="A13" s="467" t="s">
        <v>913</v>
      </c>
      <c r="B13" s="474">
        <v>1.1388692165497066E-2</v>
      </c>
      <c r="C13" s="469">
        <v>7.842399081838923E-2</v>
      </c>
      <c r="D13" s="469">
        <v>8.0675669664854455E-3</v>
      </c>
      <c r="E13" s="469">
        <v>2.2205291667102302E-2</v>
      </c>
      <c r="F13" s="469">
        <v>0</v>
      </c>
      <c r="G13" s="469">
        <v>1.002972889028177E-2</v>
      </c>
      <c r="H13" s="469">
        <v>1.1439027565953335E-2</v>
      </c>
      <c r="I13" s="470"/>
      <c r="J13" s="471" t="s">
        <v>913</v>
      </c>
      <c r="K13" s="472">
        <v>9.0238726790450929</v>
      </c>
      <c r="L13" s="472">
        <v>3.0079575596816976</v>
      </c>
      <c r="M13" s="472">
        <v>19.050397877984086</v>
      </c>
      <c r="N13" s="472">
        <v>19.050397877984086</v>
      </c>
      <c r="O13" s="472">
        <v>0</v>
      </c>
      <c r="P13" s="472">
        <v>3.0079575596816976</v>
      </c>
      <c r="Q13" s="472">
        <v>53.140583554376661</v>
      </c>
      <c r="R13" s="473"/>
      <c r="S13" s="471" t="s">
        <v>913</v>
      </c>
      <c r="T13" s="472">
        <v>3.0079575596816976</v>
      </c>
      <c r="U13" s="472">
        <v>1.0026525198938991</v>
      </c>
      <c r="V13" s="472">
        <v>6.3501326259946955</v>
      </c>
      <c r="W13" s="472">
        <v>6.3501326259946955</v>
      </c>
      <c r="X13" s="472">
        <v>0</v>
      </c>
      <c r="Y13" s="472">
        <v>1.0026525198938991</v>
      </c>
      <c r="Z13" s="472">
        <v>17.713527851458888</v>
      </c>
      <c r="AB13" s="471" t="s">
        <v>913</v>
      </c>
      <c r="AC13" s="485">
        <v>1.1388692165497068E-2</v>
      </c>
      <c r="AD13" s="485">
        <v>7.842399081838923E-2</v>
      </c>
      <c r="AE13" s="485">
        <v>8.0675669664854455E-3</v>
      </c>
      <c r="AF13" s="485">
        <v>2.2205291667102306E-2</v>
      </c>
      <c r="AG13" s="485">
        <v>0</v>
      </c>
      <c r="AH13" s="485">
        <v>1.002972889028177E-2</v>
      </c>
      <c r="AI13" s="485">
        <v>1.1439027565953335E-2</v>
      </c>
    </row>
    <row r="14" spans="1:35" x14ac:dyDescent="0.2">
      <c r="A14" s="467" t="s">
        <v>541</v>
      </c>
      <c r="B14" s="474">
        <v>2.4392623593149435E-2</v>
      </c>
      <c r="C14" s="469">
        <v>0</v>
      </c>
      <c r="D14" s="469">
        <v>9.0465261159273936E-3</v>
      </c>
      <c r="E14" s="469">
        <v>1.1857044492249698E-2</v>
      </c>
      <c r="F14" s="469">
        <v>1.3762301042483559E-2</v>
      </c>
      <c r="G14" s="469">
        <v>1.0175664099002802E-2</v>
      </c>
      <c r="H14" s="469">
        <v>1.2481352854045967E-2</v>
      </c>
      <c r="I14" s="470"/>
      <c r="J14" s="471" t="s">
        <v>541</v>
      </c>
      <c r="K14" s="472">
        <v>19.327586206896552</v>
      </c>
      <c r="L14" s="472">
        <v>0</v>
      </c>
      <c r="M14" s="472">
        <v>21.362068965517242</v>
      </c>
      <c r="N14" s="472">
        <v>10.172413793103448</v>
      </c>
      <c r="O14" s="472">
        <v>4.068965517241379</v>
      </c>
      <c r="P14" s="472">
        <v>3.0517241379310347</v>
      </c>
      <c r="Q14" s="472">
        <v>57.982758620689651</v>
      </c>
      <c r="S14" s="471" t="s">
        <v>541</v>
      </c>
      <c r="T14" s="472">
        <v>6.4425287356321839</v>
      </c>
      <c r="U14" s="472">
        <v>0</v>
      </c>
      <c r="V14" s="472">
        <v>7.1206896551724137</v>
      </c>
      <c r="W14" s="472">
        <v>3.3908045977011496</v>
      </c>
      <c r="X14" s="472">
        <v>1.3563218390804597</v>
      </c>
      <c r="Y14" s="472">
        <v>1.017241379310345</v>
      </c>
      <c r="Z14" s="472">
        <v>19.327586206896552</v>
      </c>
      <c r="AB14" s="471" t="s">
        <v>541</v>
      </c>
      <c r="AC14" s="485">
        <v>2.4392623593149435E-2</v>
      </c>
      <c r="AD14" s="485">
        <v>0</v>
      </c>
      <c r="AE14" s="485">
        <v>9.0465261159273919E-3</v>
      </c>
      <c r="AF14" s="485">
        <v>1.18570444922497E-2</v>
      </c>
      <c r="AG14" s="485">
        <v>1.3762301042483559E-2</v>
      </c>
      <c r="AH14" s="485">
        <v>1.0175664099002802E-2</v>
      </c>
      <c r="AI14" s="485">
        <v>1.2481352854045967E-2</v>
      </c>
    </row>
    <row r="15" spans="1:35" x14ac:dyDescent="0.2">
      <c r="A15" s="467" t="s">
        <v>420</v>
      </c>
      <c r="B15" s="474">
        <v>1.0376959110099847E-2</v>
      </c>
      <c r="C15" s="469">
        <v>5.3592800701827911E-2</v>
      </c>
      <c r="D15" s="469">
        <v>5.6582366061820105E-3</v>
      </c>
      <c r="E15" s="469">
        <v>5.989928785397329E-3</v>
      </c>
      <c r="F15" s="469">
        <v>1.7381060520933217E-2</v>
      </c>
      <c r="G15" s="469">
        <v>6.8540411664971771E-3</v>
      </c>
      <c r="H15" s="469">
        <v>7.7433707740062821E-3</v>
      </c>
      <c r="I15" s="470"/>
      <c r="J15" s="471" t="s">
        <v>420</v>
      </c>
      <c r="K15" s="472">
        <v>8.2222222222222214</v>
      </c>
      <c r="L15" s="472">
        <v>2.0555555555555554</v>
      </c>
      <c r="M15" s="472">
        <v>13.361111111111111</v>
      </c>
      <c r="N15" s="472">
        <v>5.1388888888888893</v>
      </c>
      <c r="O15" s="472">
        <v>5.1388888888888893</v>
      </c>
      <c r="P15" s="472">
        <v>2.0555555555555554</v>
      </c>
      <c r="Q15" s="472">
        <v>35.972222222222221</v>
      </c>
      <c r="S15" s="471" t="s">
        <v>420</v>
      </c>
      <c r="T15" s="472">
        <v>2.7407407407407405</v>
      </c>
      <c r="U15" s="472">
        <v>0.68518518518518512</v>
      </c>
      <c r="V15" s="472">
        <v>4.4537037037037033</v>
      </c>
      <c r="W15" s="472">
        <v>1.712962962962963</v>
      </c>
      <c r="X15" s="472">
        <v>1.712962962962963</v>
      </c>
      <c r="Y15" s="472">
        <v>0.68518518518518512</v>
      </c>
      <c r="Z15" s="472">
        <v>11.99074074074074</v>
      </c>
      <c r="AB15" s="471" t="s">
        <v>420</v>
      </c>
      <c r="AC15" s="485">
        <v>1.0376959110099849E-2</v>
      </c>
      <c r="AD15" s="485">
        <v>5.3592800701827911E-2</v>
      </c>
      <c r="AE15" s="485">
        <v>5.6582366061820096E-3</v>
      </c>
      <c r="AF15" s="485">
        <v>5.989928785397329E-3</v>
      </c>
      <c r="AG15" s="485">
        <v>1.7381060520933217E-2</v>
      </c>
      <c r="AH15" s="485">
        <v>6.8540411664971771E-3</v>
      </c>
      <c r="AI15" s="485">
        <v>7.7433707740062821E-3</v>
      </c>
    </row>
    <row r="16" spans="1:35" x14ac:dyDescent="0.2">
      <c r="A16" s="467" t="s">
        <v>914</v>
      </c>
      <c r="B16" s="474">
        <v>7.5723755668296189E-3</v>
      </c>
      <c r="C16" s="469">
        <v>0</v>
      </c>
      <c r="D16" s="469">
        <v>5.0818258084628452E-3</v>
      </c>
      <c r="E16" s="469">
        <v>1.049046987280397E-2</v>
      </c>
      <c r="F16" s="469">
        <v>3.3822604256951122E-3</v>
      </c>
      <c r="G16" s="469">
        <v>2.000639043193771E-2</v>
      </c>
      <c r="H16" s="469">
        <v>7.3188307547364401E-3</v>
      </c>
      <c r="I16" s="470"/>
      <c r="J16" s="471" t="s">
        <v>914</v>
      </c>
      <c r="K16" s="472">
        <v>6</v>
      </c>
      <c r="L16" s="472">
        <v>0</v>
      </c>
      <c r="M16" s="472">
        <v>12</v>
      </c>
      <c r="N16" s="472">
        <v>9</v>
      </c>
      <c r="O16" s="472">
        <v>1</v>
      </c>
      <c r="P16" s="472">
        <v>6</v>
      </c>
      <c r="Q16" s="472">
        <v>34</v>
      </c>
      <c r="S16" s="471" t="s">
        <v>914</v>
      </c>
      <c r="T16" s="472">
        <v>2</v>
      </c>
      <c r="U16" s="472">
        <v>0</v>
      </c>
      <c r="V16" s="472">
        <v>4</v>
      </c>
      <c r="W16" s="472">
        <v>3</v>
      </c>
      <c r="X16" s="472">
        <v>0.33333333333333331</v>
      </c>
      <c r="Y16" s="472">
        <v>2</v>
      </c>
      <c r="Z16" s="472">
        <v>11.333333333333334</v>
      </c>
      <c r="AB16" s="471" t="s">
        <v>914</v>
      </c>
      <c r="AC16" s="485">
        <v>7.5723755668296198E-3</v>
      </c>
      <c r="AD16" s="485">
        <v>0</v>
      </c>
      <c r="AE16" s="485">
        <v>5.0818258084628452E-3</v>
      </c>
      <c r="AF16" s="485">
        <v>1.049046987280397E-2</v>
      </c>
      <c r="AG16" s="485">
        <v>3.3822604256951122E-3</v>
      </c>
      <c r="AH16" s="485">
        <v>2.000639043193771E-2</v>
      </c>
      <c r="AI16" s="485">
        <v>7.3188307547364401E-3</v>
      </c>
    </row>
    <row r="17" spans="1:35" x14ac:dyDescent="0.2">
      <c r="A17" s="467" t="s">
        <v>915</v>
      </c>
      <c r="B17" s="474">
        <v>4.6240778609279096E-2</v>
      </c>
      <c r="C17" s="469">
        <v>7.9604978877111418E-2</v>
      </c>
      <c r="D17" s="469">
        <v>2.8015193559474662E-2</v>
      </c>
      <c r="E17" s="469">
        <v>4.389306395169261E-2</v>
      </c>
      <c r="F17" s="469">
        <v>4.8192207722330356E-2</v>
      </c>
      <c r="G17" s="469">
        <v>3.7329478005153988E-2</v>
      </c>
      <c r="H17" s="469">
        <v>3.6367430509786781E-2</v>
      </c>
      <c r="I17" s="470"/>
      <c r="J17" s="471" t="s">
        <v>915</v>
      </c>
      <c r="K17" s="472">
        <v>36.639053254437869</v>
      </c>
      <c r="L17" s="472">
        <v>3.0532544378698225</v>
      </c>
      <c r="M17" s="472">
        <v>66.15384615384616</v>
      </c>
      <c r="N17" s="472">
        <v>37.65680473372781</v>
      </c>
      <c r="O17" s="472">
        <v>14.248520710059172</v>
      </c>
      <c r="P17" s="472">
        <v>11.195266272189349</v>
      </c>
      <c r="Q17" s="472">
        <v>168.94674556213019</v>
      </c>
      <c r="S17" s="471" t="s">
        <v>915</v>
      </c>
      <c r="T17" s="472">
        <v>12.21301775147929</v>
      </c>
      <c r="U17" s="472">
        <v>1.0177514792899409</v>
      </c>
      <c r="V17" s="472">
        <v>22.051282051282055</v>
      </c>
      <c r="W17" s="472">
        <v>12.552268244575936</v>
      </c>
      <c r="X17" s="472">
        <v>4.7495069033530575</v>
      </c>
      <c r="Y17" s="472">
        <v>3.7317554240631163</v>
      </c>
      <c r="Z17" s="472">
        <v>56.315581854043394</v>
      </c>
      <c r="AB17" s="471" t="s">
        <v>915</v>
      </c>
      <c r="AC17" s="485">
        <v>4.6240778609279096E-2</v>
      </c>
      <c r="AD17" s="485">
        <v>7.9604978877111418E-2</v>
      </c>
      <c r="AE17" s="485">
        <v>2.8015193559474662E-2</v>
      </c>
      <c r="AF17" s="485">
        <v>4.3893063951692617E-2</v>
      </c>
      <c r="AG17" s="485">
        <v>4.8192207722330356E-2</v>
      </c>
      <c r="AH17" s="485">
        <v>3.7329478005153988E-2</v>
      </c>
      <c r="AI17" s="485">
        <v>3.6367430509786781E-2</v>
      </c>
    </row>
    <row r="18" spans="1:35" x14ac:dyDescent="0.2">
      <c r="A18" s="467" t="s">
        <v>644</v>
      </c>
      <c r="B18" s="474">
        <v>1</v>
      </c>
      <c r="C18" s="469">
        <v>1</v>
      </c>
      <c r="D18" s="469">
        <v>1</v>
      </c>
      <c r="E18" s="469">
        <v>1</v>
      </c>
      <c r="F18" s="469">
        <v>1</v>
      </c>
      <c r="G18" s="469">
        <v>1</v>
      </c>
      <c r="H18" s="474">
        <v>1</v>
      </c>
      <c r="I18" s="470"/>
      <c r="J18" s="471" t="s">
        <v>86</v>
      </c>
      <c r="K18" s="472">
        <v>792.35372665384887</v>
      </c>
      <c r="L18" s="472">
        <v>38.355068752461108</v>
      </c>
      <c r="M18" s="472">
        <v>2361.3560268075717</v>
      </c>
      <c r="N18" s="472">
        <v>857.92153346077089</v>
      </c>
      <c r="O18" s="472">
        <v>295.66026093170603</v>
      </c>
      <c r="P18" s="472">
        <v>299.90417413936638</v>
      </c>
      <c r="Q18" s="472">
        <v>4645.550790745725</v>
      </c>
      <c r="S18" s="471" t="s">
        <v>86</v>
      </c>
      <c r="T18" s="472">
        <v>264.11790888461627</v>
      </c>
      <c r="U18" s="472">
        <v>12.785022917487035</v>
      </c>
      <c r="V18" s="472">
        <v>787.11867560252392</v>
      </c>
      <c r="W18" s="472">
        <v>285.97384448692361</v>
      </c>
      <c r="X18" s="472">
        <v>98.553420310568683</v>
      </c>
      <c r="Y18" s="472">
        <v>99.968058046455454</v>
      </c>
      <c r="Z18" s="472">
        <v>1548.5169302485749</v>
      </c>
      <c r="AB18" s="471" t="s">
        <v>86</v>
      </c>
      <c r="AC18" s="485">
        <v>1</v>
      </c>
      <c r="AD18" s="485">
        <v>1</v>
      </c>
      <c r="AE18" s="485">
        <v>1</v>
      </c>
      <c r="AF18" s="485">
        <v>1</v>
      </c>
      <c r="AG18" s="485">
        <v>1</v>
      </c>
      <c r="AH18" s="485">
        <v>1</v>
      </c>
      <c r="AI18" s="485">
        <v>1</v>
      </c>
    </row>
    <row r="19" spans="1:35" x14ac:dyDescent="0.2">
      <c r="B19" s="470"/>
      <c r="C19" s="475"/>
      <c r="D19" s="475"/>
      <c r="E19" s="475"/>
      <c r="F19" s="475"/>
      <c r="G19" s="475"/>
      <c r="H19" s="475"/>
      <c r="I19" s="470"/>
      <c r="J19" s="464"/>
      <c r="K19" s="464"/>
      <c r="L19" s="464"/>
      <c r="M19" s="464"/>
      <c r="N19" s="464"/>
      <c r="O19" s="464"/>
      <c r="P19" s="464"/>
      <c r="Q19" s="462"/>
    </row>
    <row r="20" spans="1:35" x14ac:dyDescent="0.2">
      <c r="A20" s="476"/>
      <c r="I20" s="462"/>
      <c r="J20" s="462"/>
      <c r="K20" s="462"/>
    </row>
    <row r="21" spans="1:35" ht="15" x14ac:dyDescent="0.25">
      <c r="A21" s="491" t="s">
        <v>930</v>
      </c>
      <c r="B21" s="492"/>
      <c r="C21" s="492"/>
      <c r="D21" s="492"/>
      <c r="E21" s="492"/>
      <c r="F21" s="492"/>
      <c r="G21" s="492"/>
      <c r="H21" s="492"/>
      <c r="I21" s="492"/>
      <c r="J21" s="491" t="s">
        <v>931</v>
      </c>
      <c r="K21" s="492"/>
      <c r="L21" s="492"/>
      <c r="M21" s="492"/>
      <c r="N21" s="492"/>
      <c r="O21" s="492"/>
      <c r="P21" s="492"/>
      <c r="Q21" s="492"/>
      <c r="R21" s="492"/>
      <c r="S21" s="491" t="s">
        <v>932</v>
      </c>
      <c r="T21" s="492"/>
      <c r="U21" s="492"/>
      <c r="V21" s="492"/>
      <c r="W21" s="492"/>
      <c r="X21" s="492"/>
      <c r="Y21" s="492"/>
      <c r="Z21" s="492"/>
      <c r="AA21" s="492"/>
      <c r="AB21" s="491" t="s">
        <v>933</v>
      </c>
      <c r="AC21" s="492"/>
      <c r="AD21" s="492"/>
      <c r="AE21" s="492"/>
      <c r="AF21" s="492"/>
      <c r="AG21" s="492"/>
      <c r="AH21" s="492"/>
      <c r="AI21" s="492"/>
    </row>
    <row r="22" spans="1:35" x14ac:dyDescent="0.2">
      <c r="I22" s="463"/>
      <c r="J22" s="462"/>
      <c r="K22" s="463"/>
      <c r="L22" s="462"/>
      <c r="M22" s="462"/>
      <c r="N22" s="462"/>
      <c r="O22" s="462"/>
      <c r="P22" s="462"/>
      <c r="Q22" s="464"/>
      <c r="S22" s="462"/>
      <c r="T22" s="463"/>
      <c r="U22" s="462"/>
      <c r="V22" s="462"/>
      <c r="W22" s="462"/>
      <c r="X22" s="462"/>
      <c r="Y22" s="462"/>
      <c r="Z22" s="464"/>
    </row>
    <row r="23" spans="1:35" ht="15" x14ac:dyDescent="0.25">
      <c r="B23" s="497" t="s">
        <v>279</v>
      </c>
      <c r="C23" s="497" t="s">
        <v>910</v>
      </c>
      <c r="D23" s="497" t="s">
        <v>281</v>
      </c>
      <c r="E23" s="497" t="s">
        <v>282</v>
      </c>
      <c r="F23" s="497" t="s">
        <v>283</v>
      </c>
      <c r="G23" s="497" t="s">
        <v>284</v>
      </c>
      <c r="H23" s="497" t="s">
        <v>38</v>
      </c>
      <c r="I23" s="475"/>
      <c r="J23" s="497" t="s">
        <v>916</v>
      </c>
      <c r="K23" s="497" t="s">
        <v>279</v>
      </c>
      <c r="L23" s="497" t="s">
        <v>910</v>
      </c>
      <c r="M23" s="497" t="s">
        <v>281</v>
      </c>
      <c r="N23" s="497" t="s">
        <v>282</v>
      </c>
      <c r="O23" s="497" t="s">
        <v>283</v>
      </c>
      <c r="P23" s="497" t="s">
        <v>284</v>
      </c>
      <c r="Q23" s="497" t="s">
        <v>38</v>
      </c>
      <c r="S23" s="466" t="s">
        <v>911</v>
      </c>
      <c r="T23" s="497" t="s">
        <v>279</v>
      </c>
      <c r="U23" s="497" t="s">
        <v>910</v>
      </c>
      <c r="V23" s="497" t="s">
        <v>281</v>
      </c>
      <c r="W23" s="497" t="s">
        <v>282</v>
      </c>
      <c r="X23" s="497" t="s">
        <v>283</v>
      </c>
      <c r="Y23" s="497" t="s">
        <v>284</v>
      </c>
      <c r="Z23" s="497" t="s">
        <v>38</v>
      </c>
      <c r="AC23" s="497" t="s">
        <v>279</v>
      </c>
      <c r="AD23" s="497" t="s">
        <v>910</v>
      </c>
      <c r="AE23" s="497" t="s">
        <v>281</v>
      </c>
      <c r="AF23" s="497" t="s">
        <v>282</v>
      </c>
      <c r="AG23" s="497" t="s">
        <v>283</v>
      </c>
      <c r="AH23" s="497" t="s">
        <v>284</v>
      </c>
      <c r="AI23" s="497" t="s">
        <v>38</v>
      </c>
    </row>
    <row r="24" spans="1:35" x14ac:dyDescent="0.2">
      <c r="A24" s="471" t="s">
        <v>279</v>
      </c>
      <c r="B24" s="468">
        <v>0.76590258786849252</v>
      </c>
      <c r="C24" s="469">
        <v>8.0873311136864093E-2</v>
      </c>
      <c r="D24" s="469">
        <v>2.4263247197408848E-2</v>
      </c>
      <c r="E24" s="469">
        <v>5.2457452693571126E-3</v>
      </c>
      <c r="F24" s="469">
        <v>5.3567904464601489E-2</v>
      </c>
      <c r="G24" s="469">
        <v>1.9234459558921269E-2</v>
      </c>
      <c r="H24" s="469">
        <v>0.14349612424420466</v>
      </c>
      <c r="I24" s="475"/>
      <c r="J24" s="471" t="s">
        <v>279</v>
      </c>
      <c r="K24" s="472">
        <v>440.50364214711732</v>
      </c>
      <c r="L24" s="472">
        <v>1.0222047713717695</v>
      </c>
      <c r="M24" s="472">
        <v>47.02141948310139</v>
      </c>
      <c r="N24" s="472">
        <v>3.0666143141153079</v>
      </c>
      <c r="O24" s="472">
        <v>11.244252485089463</v>
      </c>
      <c r="P24" s="472">
        <v>4.0888190854870778</v>
      </c>
      <c r="Q24" s="472">
        <v>506.9469522862824</v>
      </c>
      <c r="S24" s="471" t="s">
        <v>279</v>
      </c>
      <c r="T24" s="472">
        <v>146.83454738237245</v>
      </c>
      <c r="U24" s="472">
        <v>0.34073492379058984</v>
      </c>
      <c r="V24" s="472">
        <v>15.673806494367129</v>
      </c>
      <c r="W24" s="472">
        <v>1.0222047713717692</v>
      </c>
      <c r="X24" s="472">
        <v>3.7480841616964877</v>
      </c>
      <c r="Y24" s="472">
        <v>1.3629396951623594</v>
      </c>
      <c r="Z24" s="472">
        <v>168.98231742876081</v>
      </c>
      <c r="AB24" s="471" t="s">
        <v>279</v>
      </c>
      <c r="AC24" s="468">
        <v>0.76590258786849263</v>
      </c>
      <c r="AD24" s="469">
        <v>8.0873311136864107E-2</v>
      </c>
      <c r="AE24" s="469">
        <v>2.4263247197408851E-2</v>
      </c>
      <c r="AF24" s="469">
        <v>5.2457452693571117E-3</v>
      </c>
      <c r="AG24" s="469">
        <v>5.3567904464601482E-2</v>
      </c>
      <c r="AH24" s="469">
        <v>1.9234459558921269E-2</v>
      </c>
      <c r="AI24" s="469">
        <v>0.14349612424420471</v>
      </c>
    </row>
    <row r="25" spans="1:35" x14ac:dyDescent="0.2">
      <c r="A25" s="471" t="s">
        <v>910</v>
      </c>
      <c r="B25" s="474">
        <v>0</v>
      </c>
      <c r="C25" s="468">
        <v>0.59558936065354262</v>
      </c>
      <c r="D25" s="469">
        <v>6.4741319633327288E-4</v>
      </c>
      <c r="E25" s="469">
        <v>0</v>
      </c>
      <c r="F25" s="469">
        <v>0</v>
      </c>
      <c r="G25" s="469">
        <v>1.1804305720242813E-2</v>
      </c>
      <c r="H25" s="469">
        <v>3.1963072815763033E-3</v>
      </c>
      <c r="I25" s="475"/>
      <c r="J25" s="471" t="s">
        <v>910</v>
      </c>
      <c r="K25" s="472">
        <v>0</v>
      </c>
      <c r="L25" s="472">
        <v>7.5280000000000005</v>
      </c>
      <c r="M25" s="472">
        <v>1.2546666666666666</v>
      </c>
      <c r="N25" s="472">
        <v>0</v>
      </c>
      <c r="O25" s="472">
        <v>0</v>
      </c>
      <c r="P25" s="472">
        <v>2.5093333333333332</v>
      </c>
      <c r="Q25" s="472">
        <v>11.292000000000002</v>
      </c>
      <c r="S25" s="471" t="s">
        <v>910</v>
      </c>
      <c r="T25" s="472">
        <v>0</v>
      </c>
      <c r="U25" s="472">
        <v>2.5093333333333336</v>
      </c>
      <c r="V25" s="472">
        <v>0.41822222222222222</v>
      </c>
      <c r="W25" s="472">
        <v>0</v>
      </c>
      <c r="X25" s="472">
        <v>0</v>
      </c>
      <c r="Y25" s="472">
        <v>0.83644444444444443</v>
      </c>
      <c r="Z25" s="472">
        <v>3.7640000000000007</v>
      </c>
      <c r="AB25" s="471" t="s">
        <v>910</v>
      </c>
      <c r="AC25" s="474">
        <v>0</v>
      </c>
      <c r="AD25" s="468">
        <v>0.59558936065354273</v>
      </c>
      <c r="AE25" s="469">
        <v>6.4741319633327299E-4</v>
      </c>
      <c r="AF25" s="469">
        <v>0</v>
      </c>
      <c r="AG25" s="469">
        <v>0</v>
      </c>
      <c r="AH25" s="469">
        <v>1.1804305720242814E-2</v>
      </c>
      <c r="AI25" s="469">
        <v>3.1963072815763042E-3</v>
      </c>
    </row>
    <row r="26" spans="1:35" x14ac:dyDescent="0.2">
      <c r="A26" s="471" t="s">
        <v>281</v>
      </c>
      <c r="B26" s="474">
        <v>0.15890854716990779</v>
      </c>
      <c r="C26" s="469">
        <v>0</v>
      </c>
      <c r="D26" s="468">
        <v>0.88076931314527684</v>
      </c>
      <c r="E26" s="469">
        <v>0.12159810123971174</v>
      </c>
      <c r="F26" s="469">
        <v>0.10159540771074001</v>
      </c>
      <c r="G26" s="469">
        <v>0.11942708059312446</v>
      </c>
      <c r="H26" s="469">
        <v>0.54236934470966591</v>
      </c>
      <c r="I26" s="475"/>
      <c r="J26" s="471" t="s">
        <v>281</v>
      </c>
      <c r="K26" s="472">
        <v>91.395165528113509</v>
      </c>
      <c r="L26" s="472">
        <v>0</v>
      </c>
      <c r="M26" s="472">
        <v>1706.9035733053074</v>
      </c>
      <c r="N26" s="472">
        <v>71.08512874408828</v>
      </c>
      <c r="O26" s="472">
        <v>21.325538623226485</v>
      </c>
      <c r="P26" s="472">
        <v>25.387545980031529</v>
      </c>
      <c r="Q26" s="472">
        <v>1916.0969521807672</v>
      </c>
      <c r="S26" s="471" t="s">
        <v>281</v>
      </c>
      <c r="T26" s="472">
        <v>30.465055176037836</v>
      </c>
      <c r="U26" s="472">
        <v>0</v>
      </c>
      <c r="V26" s="472">
        <v>568.96785776843581</v>
      </c>
      <c r="W26" s="472">
        <v>23.695042914696092</v>
      </c>
      <c r="X26" s="472">
        <v>7.1085128744088282</v>
      </c>
      <c r="Y26" s="472">
        <v>8.4625153266771758</v>
      </c>
      <c r="Z26" s="472">
        <v>638.69898406025573</v>
      </c>
      <c r="AB26" s="471" t="s">
        <v>281</v>
      </c>
      <c r="AC26" s="474">
        <v>0.15890854716990779</v>
      </c>
      <c r="AD26" s="469">
        <v>0</v>
      </c>
      <c r="AE26" s="468">
        <v>0.88076931314527707</v>
      </c>
      <c r="AF26" s="469">
        <v>0.12159810123971172</v>
      </c>
      <c r="AG26" s="469">
        <v>0.10159540771073998</v>
      </c>
      <c r="AH26" s="469">
        <v>0.11942708059312444</v>
      </c>
      <c r="AI26" s="469">
        <v>0.54236934470966602</v>
      </c>
    </row>
    <row r="27" spans="1:35" x14ac:dyDescent="0.2">
      <c r="A27" s="471" t="s">
        <v>282</v>
      </c>
      <c r="B27" s="474">
        <v>1.4027331523895594E-2</v>
      </c>
      <c r="C27" s="469">
        <v>7.9786306611602159E-2</v>
      </c>
      <c r="D27" s="469">
        <v>5.5159471143861355E-2</v>
      </c>
      <c r="E27" s="468">
        <v>0.86081460272983001</v>
      </c>
      <c r="F27" s="469">
        <v>1.9217420837032047E-2</v>
      </c>
      <c r="G27" s="469">
        <v>4.7439831085913818E-3</v>
      </c>
      <c r="H27" s="469">
        <v>0.1766970686038779</v>
      </c>
      <c r="I27" s="475"/>
      <c r="J27" s="471" t="s">
        <v>282</v>
      </c>
      <c r="K27" s="472">
        <v>8.0677239165329055</v>
      </c>
      <c r="L27" s="472">
        <v>1.0084654895666132</v>
      </c>
      <c r="M27" s="472">
        <v>106.897341894061</v>
      </c>
      <c r="N27" s="472">
        <v>503.22427929373998</v>
      </c>
      <c r="O27" s="472">
        <v>4.0338619582664528</v>
      </c>
      <c r="P27" s="472">
        <v>1.0084654895666132</v>
      </c>
      <c r="Q27" s="472">
        <v>624.24013804173353</v>
      </c>
      <c r="S27" s="471" t="s">
        <v>282</v>
      </c>
      <c r="T27" s="472">
        <v>2.6892413055109685</v>
      </c>
      <c r="U27" s="472">
        <v>0.33615516318887106</v>
      </c>
      <c r="V27" s="472">
        <v>35.632447298020331</v>
      </c>
      <c r="W27" s="472">
        <v>167.74142643124665</v>
      </c>
      <c r="X27" s="472">
        <v>1.3446206527554843</v>
      </c>
      <c r="Y27" s="472">
        <v>0.33615516318887106</v>
      </c>
      <c r="Z27" s="472">
        <v>208.08004601391119</v>
      </c>
      <c r="AB27" s="471" t="s">
        <v>282</v>
      </c>
      <c r="AC27" s="474">
        <v>1.4027331523895594E-2</v>
      </c>
      <c r="AD27" s="469">
        <v>7.9786306611602159E-2</v>
      </c>
      <c r="AE27" s="469">
        <v>5.5159471143861362E-2</v>
      </c>
      <c r="AF27" s="468">
        <v>0.8608146027298299</v>
      </c>
      <c r="AG27" s="469">
        <v>1.9217420837032043E-2</v>
      </c>
      <c r="AH27" s="469">
        <v>4.7439831085913818E-3</v>
      </c>
      <c r="AI27" s="469">
        <v>0.17669706860387796</v>
      </c>
    </row>
    <row r="28" spans="1:35" x14ac:dyDescent="0.2">
      <c r="A28" s="471" t="s">
        <v>283</v>
      </c>
      <c r="B28" s="474">
        <v>3.2953244215384342E-2</v>
      </c>
      <c r="C28" s="469">
        <v>8.3304595344588728E-2</v>
      </c>
      <c r="D28" s="469">
        <v>1.1953016160729406E-2</v>
      </c>
      <c r="E28" s="469">
        <v>5.4034474513482821E-3</v>
      </c>
      <c r="F28" s="468">
        <v>0.79180462136987273</v>
      </c>
      <c r="G28" s="469">
        <v>7.2056494869557827E-2</v>
      </c>
      <c r="H28" s="469">
        <v>6.449557999142333E-2</v>
      </c>
      <c r="I28" s="475"/>
      <c r="J28" s="471" t="s">
        <v>283</v>
      </c>
      <c r="K28" s="472">
        <v>18.952833333333334</v>
      </c>
      <c r="L28" s="472">
        <v>1.0529351851851851</v>
      </c>
      <c r="M28" s="472">
        <v>23.164574074074075</v>
      </c>
      <c r="N28" s="472">
        <v>3.1588055555555554</v>
      </c>
      <c r="O28" s="472">
        <v>166.20495370370369</v>
      </c>
      <c r="P28" s="472">
        <v>15.317611111111111</v>
      </c>
      <c r="Q28" s="472">
        <v>227.85171296296295</v>
      </c>
      <c r="S28" s="471" t="s">
        <v>283</v>
      </c>
      <c r="T28" s="472">
        <v>6.3176111111111117</v>
      </c>
      <c r="U28" s="472">
        <v>0.3509783950617284</v>
      </c>
      <c r="V28" s="472">
        <v>7.7215246913580247</v>
      </c>
      <c r="W28" s="472">
        <v>1.0529351851851851</v>
      </c>
      <c r="X28" s="472">
        <v>55.4016512345679</v>
      </c>
      <c r="Y28" s="472">
        <v>5.1058703703703703</v>
      </c>
      <c r="Z28" s="472">
        <v>75.950570987654316</v>
      </c>
      <c r="AB28" s="471" t="s">
        <v>283</v>
      </c>
      <c r="AC28" s="474">
        <v>3.2953244215384342E-2</v>
      </c>
      <c r="AD28" s="469">
        <v>8.3304595344588742E-2</v>
      </c>
      <c r="AE28" s="469">
        <v>1.1953016160729408E-2</v>
      </c>
      <c r="AF28" s="469">
        <v>5.4034474513482813E-3</v>
      </c>
      <c r="AG28" s="468">
        <v>0.79180462136987262</v>
      </c>
      <c r="AH28" s="469">
        <v>7.2056494869557827E-2</v>
      </c>
      <c r="AI28" s="469">
        <v>6.4495579991423344E-2</v>
      </c>
    </row>
    <row r="29" spans="1:35" x14ac:dyDescent="0.2">
      <c r="A29" s="471" t="s">
        <v>284</v>
      </c>
      <c r="B29" s="474">
        <v>2.8208289222319546E-2</v>
      </c>
      <c r="C29" s="469">
        <v>0.1604464262534023</v>
      </c>
      <c r="D29" s="469">
        <v>2.7207539156390233E-2</v>
      </c>
      <c r="E29" s="469">
        <v>6.938103309752989E-3</v>
      </c>
      <c r="F29" s="469">
        <v>3.3814645617753832E-2</v>
      </c>
      <c r="G29" s="468">
        <v>0.77273367614956223</v>
      </c>
      <c r="H29" s="469">
        <v>6.9745575169251742E-2</v>
      </c>
      <c r="I29" s="475"/>
      <c r="J29" s="471" t="s">
        <v>284</v>
      </c>
      <c r="K29" s="472">
        <v>16.223804878048782</v>
      </c>
      <c r="L29" s="472">
        <v>2.0279756097560977</v>
      </c>
      <c r="M29" s="472">
        <v>52.72736585365854</v>
      </c>
      <c r="N29" s="472">
        <v>4.0559512195121954</v>
      </c>
      <c r="O29" s="472">
        <v>7.0979146341463411</v>
      </c>
      <c r="P29" s="472">
        <v>164.2660243902439</v>
      </c>
      <c r="Q29" s="472">
        <v>246.39903658536585</v>
      </c>
      <c r="S29" s="471" t="s">
        <v>284</v>
      </c>
      <c r="T29" s="472">
        <v>5.4079349593495936</v>
      </c>
      <c r="U29" s="472">
        <v>0.6759918699186992</v>
      </c>
      <c r="V29" s="472">
        <v>17.575788617886179</v>
      </c>
      <c r="W29" s="472">
        <v>1.3519837398373984</v>
      </c>
      <c r="X29" s="472">
        <v>2.365971544715447</v>
      </c>
      <c r="Y29" s="472">
        <v>54.755341463414631</v>
      </c>
      <c r="Z29" s="472">
        <v>82.13301219512195</v>
      </c>
      <c r="AB29" s="471" t="s">
        <v>284</v>
      </c>
      <c r="AC29" s="474">
        <v>2.8208289222319542E-2</v>
      </c>
      <c r="AD29" s="469">
        <v>0.1604464262534023</v>
      </c>
      <c r="AE29" s="469">
        <v>2.7207539156390237E-2</v>
      </c>
      <c r="AF29" s="469">
        <v>6.9381033097529882E-3</v>
      </c>
      <c r="AG29" s="469">
        <v>3.3814645617753825E-2</v>
      </c>
      <c r="AH29" s="468">
        <v>0.77273367614956223</v>
      </c>
      <c r="AI29" s="469">
        <v>6.9745575169251769E-2</v>
      </c>
    </row>
    <row r="30" spans="1:35" x14ac:dyDescent="0.2">
      <c r="A30" s="471" t="s">
        <v>38</v>
      </c>
      <c r="B30" s="474">
        <v>1</v>
      </c>
      <c r="C30" s="469">
        <v>1</v>
      </c>
      <c r="D30" s="469">
        <v>1</v>
      </c>
      <c r="E30" s="469">
        <v>1</v>
      </c>
      <c r="F30" s="469">
        <v>1</v>
      </c>
      <c r="G30" s="469">
        <v>1</v>
      </c>
      <c r="H30" s="469">
        <v>1</v>
      </c>
      <c r="J30" s="471" t="s">
        <v>38</v>
      </c>
      <c r="K30" s="477">
        <v>575.14316980314595</v>
      </c>
      <c r="L30" s="477">
        <v>12.639581055879667</v>
      </c>
      <c r="M30" s="477">
        <v>1937.9689412768691</v>
      </c>
      <c r="N30" s="477">
        <v>584.59077912701127</v>
      </c>
      <c r="O30" s="477">
        <v>209.90652140443243</v>
      </c>
      <c r="P30" s="477">
        <v>212.57779938977356</v>
      </c>
      <c r="Q30" s="477">
        <v>3532.8267920571125</v>
      </c>
      <c r="S30" s="467" t="s">
        <v>86</v>
      </c>
      <c r="T30" s="477">
        <v>191.71438993438198</v>
      </c>
      <c r="U30" s="477">
        <v>4.2131936852932217</v>
      </c>
      <c r="V30" s="477">
        <v>645.9896470922896</v>
      </c>
      <c r="W30" s="477">
        <v>194.8635930423371</v>
      </c>
      <c r="X30" s="477">
        <v>69.968840468144151</v>
      </c>
      <c r="Y30" s="477">
        <v>70.859266463257853</v>
      </c>
      <c r="Z30" s="477">
        <v>1177.6089306857039</v>
      </c>
      <c r="AB30" s="471" t="s">
        <v>38</v>
      </c>
      <c r="AC30" s="474">
        <v>1</v>
      </c>
      <c r="AD30" s="469">
        <v>1</v>
      </c>
      <c r="AE30" s="469">
        <v>1</v>
      </c>
      <c r="AF30" s="469">
        <v>1</v>
      </c>
      <c r="AG30" s="469">
        <v>1</v>
      </c>
      <c r="AH30" s="469">
        <v>1</v>
      </c>
      <c r="AI30" s="469">
        <v>1</v>
      </c>
    </row>
    <row r="32" spans="1:35" ht="15" x14ac:dyDescent="0.25">
      <c r="A32" s="460" t="s">
        <v>935</v>
      </c>
      <c r="J32" s="460" t="s">
        <v>938</v>
      </c>
      <c r="S32" s="460" t="s">
        <v>934</v>
      </c>
      <c r="AB32" s="460" t="s">
        <v>939</v>
      </c>
    </row>
    <row r="34" spans="1:35" ht="15" x14ac:dyDescent="0.25">
      <c r="A34" s="484" t="s">
        <v>920</v>
      </c>
      <c r="B34" s="497" t="s">
        <v>279</v>
      </c>
      <c r="C34" s="497" t="s">
        <v>280</v>
      </c>
      <c r="D34" s="497" t="s">
        <v>281</v>
      </c>
      <c r="E34" s="497" t="s">
        <v>282</v>
      </c>
      <c r="F34" s="497" t="s">
        <v>283</v>
      </c>
      <c r="G34" s="497" t="s">
        <v>284</v>
      </c>
      <c r="H34" s="497" t="s">
        <v>86</v>
      </c>
      <c r="J34" s="484" t="s">
        <v>919</v>
      </c>
      <c r="K34" s="497" t="s">
        <v>279</v>
      </c>
      <c r="L34" s="497" t="s">
        <v>280</v>
      </c>
      <c r="M34" s="497" t="s">
        <v>281</v>
      </c>
      <c r="N34" s="497" t="s">
        <v>282</v>
      </c>
      <c r="O34" s="497" t="s">
        <v>283</v>
      </c>
      <c r="P34" s="497" t="s">
        <v>284</v>
      </c>
      <c r="Q34" s="497" t="s">
        <v>86</v>
      </c>
      <c r="S34" s="484" t="s">
        <v>918</v>
      </c>
      <c r="T34" s="497" t="s">
        <v>279</v>
      </c>
      <c r="U34" s="497" t="s">
        <v>280</v>
      </c>
      <c r="V34" s="497" t="s">
        <v>281</v>
      </c>
      <c r="W34" s="497" t="s">
        <v>282</v>
      </c>
      <c r="X34" s="497" t="s">
        <v>283</v>
      </c>
      <c r="Y34" s="497" t="s">
        <v>284</v>
      </c>
      <c r="Z34" s="497" t="s">
        <v>86</v>
      </c>
      <c r="AB34" s="484" t="s">
        <v>917</v>
      </c>
      <c r="AC34" s="497" t="s">
        <v>279</v>
      </c>
      <c r="AD34" s="497" t="s">
        <v>280</v>
      </c>
      <c r="AE34" s="497" t="s">
        <v>281</v>
      </c>
      <c r="AF34" s="497" t="s">
        <v>282</v>
      </c>
      <c r="AG34" s="497" t="s">
        <v>283</v>
      </c>
      <c r="AH34" s="497" t="s">
        <v>284</v>
      </c>
      <c r="AI34" s="497" t="s">
        <v>86</v>
      </c>
    </row>
    <row r="35" spans="1:35" x14ac:dyDescent="0.2">
      <c r="A35" s="467" t="s">
        <v>240</v>
      </c>
      <c r="B35" s="478">
        <v>142168.53891050583</v>
      </c>
      <c r="C35" s="478">
        <v>148009.11538461538</v>
      </c>
      <c r="D35" s="478">
        <v>165777.40422805893</v>
      </c>
      <c r="E35" s="478">
        <v>174233.82522522521</v>
      </c>
      <c r="F35" s="478">
        <v>158072.36363636365</v>
      </c>
      <c r="G35" s="478">
        <v>160300.90052356021</v>
      </c>
      <c r="H35" s="478">
        <v>162352.72610415294</v>
      </c>
      <c r="J35" s="467" t="s">
        <v>240</v>
      </c>
      <c r="K35" s="478">
        <v>140973.70588235295</v>
      </c>
      <c r="L35" s="478">
        <v>167562.5</v>
      </c>
      <c r="M35" s="478">
        <v>154967.49772382397</v>
      </c>
      <c r="N35" s="478">
        <v>173049.02611940299</v>
      </c>
      <c r="O35" s="478">
        <v>159921.4193548387</v>
      </c>
      <c r="P35" s="478">
        <v>161922.20388349515</v>
      </c>
      <c r="Q35" s="478">
        <v>157209.38461538462</v>
      </c>
      <c r="S35" s="467" t="s">
        <v>240</v>
      </c>
      <c r="T35" s="478">
        <v>152747.3088235294</v>
      </c>
      <c r="U35" s="478">
        <v>152747.3088235294</v>
      </c>
      <c r="V35" s="478">
        <v>152747.3088235294</v>
      </c>
      <c r="W35" s="478">
        <v>152747.3088235294</v>
      </c>
      <c r="X35" s="478">
        <v>152747.3088235294</v>
      </c>
      <c r="Y35" s="478">
        <v>152747.3088235294</v>
      </c>
      <c r="Z35" s="478">
        <v>152747.3088235294</v>
      </c>
      <c r="AB35" s="467" t="s">
        <v>240</v>
      </c>
      <c r="AC35" s="478">
        <v>143069.76109215018</v>
      </c>
      <c r="AD35" s="478">
        <v>139318.72222222222</v>
      </c>
      <c r="AE35" s="478">
        <v>173675.10753880267</v>
      </c>
      <c r="AF35" s="478">
        <v>175340.1881533101</v>
      </c>
      <c r="AG35" s="478">
        <v>156242.97872340426</v>
      </c>
      <c r="AH35" s="478">
        <v>158403.23863636365</v>
      </c>
      <c r="AI35" s="478">
        <v>166486.96967895364</v>
      </c>
    </row>
    <row r="36" spans="1:35" x14ac:dyDescent="0.2">
      <c r="A36" s="467" t="s">
        <v>243</v>
      </c>
      <c r="B36" s="478">
        <v>24000</v>
      </c>
      <c r="C36" s="478">
        <v>24600</v>
      </c>
      <c r="D36" s="478">
        <v>20000</v>
      </c>
      <c r="E36" s="478">
        <v>20500</v>
      </c>
      <c r="F36" s="478">
        <v>27000</v>
      </c>
      <c r="G36" s="478">
        <v>32000</v>
      </c>
      <c r="H36" s="478">
        <v>20000</v>
      </c>
      <c r="J36" s="467" t="s">
        <v>243</v>
      </c>
      <c r="K36" s="478">
        <v>24000</v>
      </c>
      <c r="L36" s="478">
        <v>80000</v>
      </c>
      <c r="M36" s="478">
        <v>30000</v>
      </c>
      <c r="N36" s="478">
        <v>51037</v>
      </c>
      <c r="O36" s="478">
        <v>27000</v>
      </c>
      <c r="P36" s="478">
        <v>55000</v>
      </c>
      <c r="Q36" s="478">
        <v>24000</v>
      </c>
      <c r="S36" s="467" t="s">
        <v>243</v>
      </c>
      <c r="T36" s="478">
        <v>35000</v>
      </c>
      <c r="U36" s="478">
        <v>54000</v>
      </c>
      <c r="V36" s="478">
        <v>20000</v>
      </c>
      <c r="W36" s="478">
        <v>33000</v>
      </c>
      <c r="X36" s="478">
        <v>25000</v>
      </c>
      <c r="Y36" s="478">
        <v>43000</v>
      </c>
      <c r="Z36" s="478">
        <v>20000</v>
      </c>
      <c r="AB36" s="467" t="s">
        <v>243</v>
      </c>
      <c r="AC36" s="478">
        <v>28000</v>
      </c>
      <c r="AD36" s="478">
        <v>24600</v>
      </c>
      <c r="AE36" s="478">
        <v>20000</v>
      </c>
      <c r="AF36" s="478">
        <v>20500</v>
      </c>
      <c r="AG36" s="478">
        <v>40000</v>
      </c>
      <c r="AH36" s="478">
        <v>32000</v>
      </c>
      <c r="AI36" s="478">
        <v>20000</v>
      </c>
    </row>
    <row r="37" spans="1:35" x14ac:dyDescent="0.2">
      <c r="A37" s="467" t="s">
        <v>242</v>
      </c>
      <c r="B37" s="478">
        <v>420000</v>
      </c>
      <c r="C37" s="478">
        <v>468000</v>
      </c>
      <c r="D37" s="478">
        <v>662000</v>
      </c>
      <c r="E37" s="478">
        <v>855000</v>
      </c>
      <c r="F37" s="478">
        <v>520000</v>
      </c>
      <c r="G37" s="478">
        <v>435000</v>
      </c>
      <c r="H37" s="478">
        <v>855000</v>
      </c>
      <c r="J37" s="467" t="s">
        <v>242</v>
      </c>
      <c r="K37" s="478">
        <v>334000</v>
      </c>
      <c r="L37" s="478">
        <v>230000</v>
      </c>
      <c r="M37" s="478">
        <v>560000</v>
      </c>
      <c r="N37" s="478">
        <v>855000</v>
      </c>
      <c r="O37" s="478">
        <v>415000</v>
      </c>
      <c r="P37" s="478">
        <v>370000</v>
      </c>
      <c r="Q37" s="478">
        <v>855000</v>
      </c>
      <c r="S37" s="467" t="s">
        <v>242</v>
      </c>
      <c r="T37" s="478">
        <v>825000</v>
      </c>
      <c r="U37" s="478">
        <v>350000</v>
      </c>
      <c r="V37" s="478">
        <v>570000</v>
      </c>
      <c r="W37" s="478">
        <v>675000</v>
      </c>
      <c r="X37" s="478">
        <v>470000</v>
      </c>
      <c r="Y37" s="478">
        <v>515000</v>
      </c>
      <c r="Z37" s="478">
        <v>825000</v>
      </c>
      <c r="AB37" s="467" t="s">
        <v>242</v>
      </c>
      <c r="AC37" s="478">
        <v>420000</v>
      </c>
      <c r="AD37" s="478">
        <v>468000</v>
      </c>
      <c r="AE37" s="478">
        <v>662000</v>
      </c>
      <c r="AF37" s="478">
        <v>700000</v>
      </c>
      <c r="AG37" s="478">
        <v>520000</v>
      </c>
      <c r="AH37" s="478">
        <v>435000</v>
      </c>
      <c r="AI37" s="478">
        <v>700000</v>
      </c>
    </row>
    <row r="38" spans="1:35" x14ac:dyDescent="0.2">
      <c r="A38" s="467" t="s">
        <v>241</v>
      </c>
      <c r="B38" s="479">
        <v>126500</v>
      </c>
      <c r="C38" s="479">
        <v>132500</v>
      </c>
      <c r="D38" s="479">
        <v>150500</v>
      </c>
      <c r="E38" s="479">
        <v>150000</v>
      </c>
      <c r="F38" s="479">
        <v>142000</v>
      </c>
      <c r="G38" s="479">
        <v>155000</v>
      </c>
      <c r="H38" s="479">
        <v>145000</v>
      </c>
      <c r="J38" s="467" t="s">
        <v>241</v>
      </c>
      <c r="K38" s="479">
        <v>126000</v>
      </c>
      <c r="L38" s="479">
        <v>182500</v>
      </c>
      <c r="M38" s="479">
        <v>137000</v>
      </c>
      <c r="N38" s="479">
        <v>145100</v>
      </c>
      <c r="O38" s="479">
        <v>148000</v>
      </c>
      <c r="P38" s="479">
        <v>160000</v>
      </c>
      <c r="Q38" s="479">
        <v>140000</v>
      </c>
      <c r="S38" s="467" t="s">
        <v>241</v>
      </c>
      <c r="T38" s="479">
        <v>140000</v>
      </c>
      <c r="U38" s="479">
        <v>165000</v>
      </c>
      <c r="V38" s="479">
        <v>165000</v>
      </c>
      <c r="W38" s="479">
        <v>175000</v>
      </c>
      <c r="X38" s="479">
        <v>140000</v>
      </c>
      <c r="Y38" s="479">
        <v>155000</v>
      </c>
      <c r="Z38" s="479">
        <v>159000</v>
      </c>
      <c r="AB38" s="467" t="s">
        <v>241</v>
      </c>
      <c r="AC38" s="479">
        <v>127000</v>
      </c>
      <c r="AD38" s="479">
        <v>122500</v>
      </c>
      <c r="AE38" s="479">
        <v>165000</v>
      </c>
      <c r="AF38" s="479">
        <v>155000</v>
      </c>
      <c r="AG38" s="479">
        <v>135000</v>
      </c>
      <c r="AH38" s="479">
        <v>133250</v>
      </c>
      <c r="AI38" s="479">
        <v>150000</v>
      </c>
    </row>
    <row r="39" spans="1:35" x14ac:dyDescent="0.2">
      <c r="A39" s="467" t="s">
        <v>244</v>
      </c>
      <c r="B39" s="480">
        <v>93375</v>
      </c>
      <c r="C39" s="480">
        <v>90000</v>
      </c>
      <c r="D39" s="480">
        <v>105000</v>
      </c>
      <c r="E39" s="480">
        <v>107112.5</v>
      </c>
      <c r="F39" s="480">
        <v>105000</v>
      </c>
      <c r="G39" s="480">
        <v>105000</v>
      </c>
      <c r="H39" s="480">
        <v>104050</v>
      </c>
      <c r="J39" s="467" t="s">
        <v>244</v>
      </c>
      <c r="K39" s="480">
        <v>93000</v>
      </c>
      <c r="L39" s="480">
        <v>89500</v>
      </c>
      <c r="M39" s="480">
        <v>102500</v>
      </c>
      <c r="N39" s="480">
        <v>105000</v>
      </c>
      <c r="O39" s="480">
        <v>110000</v>
      </c>
      <c r="P39" s="480">
        <v>110000</v>
      </c>
      <c r="Q39" s="480">
        <v>102500</v>
      </c>
      <c r="S39" s="467" t="s">
        <v>244</v>
      </c>
      <c r="T39" s="480">
        <v>95000</v>
      </c>
      <c r="U39" s="480">
        <v>120000</v>
      </c>
      <c r="V39" s="480">
        <v>115000</v>
      </c>
      <c r="W39" s="480">
        <v>113000</v>
      </c>
      <c r="X39" s="480">
        <v>107000</v>
      </c>
      <c r="Y39" s="480">
        <v>105000</v>
      </c>
      <c r="Z39" s="480">
        <v>110000</v>
      </c>
      <c r="AB39" s="467" t="s">
        <v>244</v>
      </c>
      <c r="AC39" s="480">
        <v>90000</v>
      </c>
      <c r="AD39" s="480">
        <v>82500</v>
      </c>
      <c r="AE39" s="480">
        <v>113000</v>
      </c>
      <c r="AF39" s="480">
        <v>110000</v>
      </c>
      <c r="AG39" s="480">
        <v>102500</v>
      </c>
      <c r="AH39" s="480">
        <v>100000</v>
      </c>
      <c r="AI39" s="480">
        <v>105000</v>
      </c>
    </row>
    <row r="40" spans="1:35" x14ac:dyDescent="0.2">
      <c r="A40" s="467" t="s">
        <v>245</v>
      </c>
      <c r="B40" s="480">
        <v>126500</v>
      </c>
      <c r="C40" s="480">
        <v>132500</v>
      </c>
      <c r="D40" s="480">
        <v>150500</v>
      </c>
      <c r="E40" s="480">
        <v>150000</v>
      </c>
      <c r="F40" s="480">
        <v>142000</v>
      </c>
      <c r="G40" s="480">
        <v>155000</v>
      </c>
      <c r="H40" s="480">
        <v>145000</v>
      </c>
      <c r="J40" s="467" t="s">
        <v>245</v>
      </c>
      <c r="K40" s="480">
        <v>123000</v>
      </c>
      <c r="L40" s="480">
        <v>180000</v>
      </c>
      <c r="M40" s="480">
        <v>137000</v>
      </c>
      <c r="N40" s="480">
        <v>145200</v>
      </c>
      <c r="O40" s="480">
        <v>148000</v>
      </c>
      <c r="P40" s="480">
        <v>160000</v>
      </c>
      <c r="Q40" s="480">
        <v>140000</v>
      </c>
      <c r="S40" s="467" t="s">
        <v>245</v>
      </c>
      <c r="T40" s="480">
        <v>105000</v>
      </c>
      <c r="U40" s="480">
        <v>165000</v>
      </c>
      <c r="V40" s="480">
        <v>165000</v>
      </c>
      <c r="W40" s="480">
        <v>175000</v>
      </c>
      <c r="X40" s="480">
        <v>140000</v>
      </c>
      <c r="Y40" s="480">
        <v>155000</v>
      </c>
      <c r="Z40" s="480">
        <v>159000</v>
      </c>
      <c r="AB40" s="467" t="s">
        <v>245</v>
      </c>
      <c r="AC40" s="480">
        <v>127000</v>
      </c>
      <c r="AD40" s="480">
        <v>130000</v>
      </c>
      <c r="AE40" s="480">
        <v>165000</v>
      </c>
      <c r="AF40" s="480">
        <v>155000</v>
      </c>
      <c r="AG40" s="480">
        <v>135000</v>
      </c>
      <c r="AH40" s="480">
        <v>126500</v>
      </c>
      <c r="AI40" s="480">
        <v>150000</v>
      </c>
    </row>
    <row r="41" spans="1:35" x14ac:dyDescent="0.2">
      <c r="A41" s="467" t="s">
        <v>246</v>
      </c>
      <c r="B41" s="480">
        <v>180000</v>
      </c>
      <c r="C41" s="480">
        <v>183875</v>
      </c>
      <c r="D41" s="480">
        <v>209950</v>
      </c>
      <c r="E41" s="480">
        <v>210950</v>
      </c>
      <c r="F41" s="480">
        <v>190000</v>
      </c>
      <c r="G41" s="480">
        <v>199975</v>
      </c>
      <c r="H41" s="480">
        <v>201000</v>
      </c>
      <c r="J41" s="467" t="s">
        <v>246</v>
      </c>
      <c r="K41" s="480">
        <v>165000</v>
      </c>
      <c r="L41" s="480">
        <v>191000</v>
      </c>
      <c r="M41" s="480">
        <v>190000</v>
      </c>
      <c r="N41" s="480">
        <v>210000</v>
      </c>
      <c r="O41" s="480">
        <v>190000</v>
      </c>
      <c r="P41" s="480">
        <v>198000</v>
      </c>
      <c r="Q41" s="480">
        <v>193000</v>
      </c>
      <c r="S41" s="467" t="s">
        <v>246</v>
      </c>
      <c r="T41" s="480">
        <v>195000</v>
      </c>
      <c r="U41" s="480">
        <v>168087</v>
      </c>
      <c r="V41" s="480">
        <v>215000</v>
      </c>
      <c r="W41" s="480">
        <v>227950</v>
      </c>
      <c r="X41" s="480">
        <v>185000</v>
      </c>
      <c r="Y41" s="480">
        <v>230000</v>
      </c>
      <c r="Z41" s="480">
        <v>215000</v>
      </c>
      <c r="AB41" s="467" t="s">
        <v>246</v>
      </c>
      <c r="AC41" s="480">
        <v>180000</v>
      </c>
      <c r="AD41" s="480">
        <v>180500</v>
      </c>
      <c r="AE41" s="480">
        <v>220000</v>
      </c>
      <c r="AF41" s="480">
        <v>212277</v>
      </c>
      <c r="AG41" s="480">
        <v>200000</v>
      </c>
      <c r="AH41" s="480">
        <v>205000</v>
      </c>
      <c r="AI41" s="480">
        <v>210950</v>
      </c>
    </row>
    <row r="42" spans="1:35" x14ac:dyDescent="0.2">
      <c r="A42" s="467" t="s">
        <v>247</v>
      </c>
      <c r="B42" s="480">
        <v>420000</v>
      </c>
      <c r="C42" s="480">
        <v>468000</v>
      </c>
      <c r="D42" s="480">
        <v>662000</v>
      </c>
      <c r="E42" s="480">
        <v>855000</v>
      </c>
      <c r="F42" s="480">
        <v>520000</v>
      </c>
      <c r="G42" s="480">
        <v>435000</v>
      </c>
      <c r="H42" s="480">
        <v>855000</v>
      </c>
      <c r="J42" s="467" t="s">
        <v>247</v>
      </c>
      <c r="K42" s="480">
        <v>334000</v>
      </c>
      <c r="L42" s="480">
        <v>230000</v>
      </c>
      <c r="M42" s="480">
        <v>560000</v>
      </c>
      <c r="N42" s="480">
        <v>855000</v>
      </c>
      <c r="O42" s="480">
        <v>415000</v>
      </c>
      <c r="P42" s="480">
        <v>370000</v>
      </c>
      <c r="Q42" s="480">
        <v>855000</v>
      </c>
      <c r="S42" s="467" t="s">
        <v>247</v>
      </c>
      <c r="T42" s="480">
        <v>825000</v>
      </c>
      <c r="U42" s="480">
        <v>350000</v>
      </c>
      <c r="V42" s="480">
        <v>570000</v>
      </c>
      <c r="W42" s="480">
        <v>675000</v>
      </c>
      <c r="X42" s="480">
        <v>470000</v>
      </c>
      <c r="Y42" s="480">
        <v>515000</v>
      </c>
      <c r="Z42" s="480">
        <v>825000</v>
      </c>
      <c r="AB42" s="467" t="s">
        <v>247</v>
      </c>
      <c r="AC42" s="480">
        <v>420000</v>
      </c>
      <c r="AD42" s="480">
        <v>468000</v>
      </c>
      <c r="AE42" s="480">
        <v>662000</v>
      </c>
      <c r="AF42" s="480">
        <v>700000</v>
      </c>
      <c r="AG42" s="480">
        <v>520000</v>
      </c>
      <c r="AH42" s="480">
        <v>435000</v>
      </c>
      <c r="AI42" s="480">
        <v>700000</v>
      </c>
    </row>
    <row r="44" spans="1:35" ht="15" x14ac:dyDescent="0.25">
      <c r="A44" s="460" t="s">
        <v>936</v>
      </c>
      <c r="J44" s="460" t="s">
        <v>940</v>
      </c>
      <c r="S44" s="460" t="s">
        <v>937</v>
      </c>
      <c r="AB44" s="460" t="s">
        <v>941</v>
      </c>
    </row>
    <row r="46" spans="1:35" ht="15" x14ac:dyDescent="0.25">
      <c r="A46" s="467"/>
      <c r="B46" s="487" t="s">
        <v>921</v>
      </c>
      <c r="C46" s="487"/>
      <c r="D46" s="487"/>
      <c r="E46" s="487"/>
      <c r="F46" s="487"/>
      <c r="G46" s="487"/>
      <c r="H46" s="487"/>
      <c r="J46" s="467"/>
      <c r="K46" s="487" t="s">
        <v>921</v>
      </c>
      <c r="L46" s="487"/>
      <c r="M46" s="487"/>
      <c r="N46" s="487"/>
      <c r="O46" s="487"/>
      <c r="P46" s="487"/>
      <c r="Q46" s="487"/>
      <c r="S46" s="467"/>
      <c r="T46" s="638" t="s">
        <v>921</v>
      </c>
      <c r="U46" s="638"/>
      <c r="V46" s="638"/>
      <c r="W46" s="638"/>
      <c r="X46" s="638"/>
      <c r="Y46" s="638"/>
      <c r="Z46" s="638"/>
      <c r="AB46" s="467"/>
      <c r="AC46" s="635" t="s">
        <v>921</v>
      </c>
      <c r="AD46" s="636"/>
      <c r="AE46" s="636"/>
      <c r="AF46" s="636"/>
      <c r="AG46" s="636"/>
      <c r="AH46" s="636"/>
      <c r="AI46" s="637"/>
    </row>
    <row r="47" spans="1:35" ht="15" x14ac:dyDescent="0.25">
      <c r="A47" s="482" t="s">
        <v>922</v>
      </c>
      <c r="B47" s="498" t="s">
        <v>279</v>
      </c>
      <c r="C47" s="498" t="s">
        <v>910</v>
      </c>
      <c r="D47" s="498" t="s">
        <v>281</v>
      </c>
      <c r="E47" s="498" t="s">
        <v>282</v>
      </c>
      <c r="F47" s="498" t="s">
        <v>283</v>
      </c>
      <c r="G47" s="498" t="s">
        <v>284</v>
      </c>
      <c r="H47" s="498" t="s">
        <v>644</v>
      </c>
      <c r="J47" s="482" t="s">
        <v>922</v>
      </c>
      <c r="K47" s="498" t="s">
        <v>279</v>
      </c>
      <c r="L47" s="498" t="s">
        <v>910</v>
      </c>
      <c r="M47" s="498" t="s">
        <v>281</v>
      </c>
      <c r="N47" s="498" t="s">
        <v>282</v>
      </c>
      <c r="O47" s="498" t="s">
        <v>283</v>
      </c>
      <c r="P47" s="498" t="s">
        <v>284</v>
      </c>
      <c r="Q47" s="498" t="s">
        <v>644</v>
      </c>
      <c r="S47" s="482" t="s">
        <v>922</v>
      </c>
      <c r="T47" s="498" t="s">
        <v>279</v>
      </c>
      <c r="U47" s="498" t="s">
        <v>910</v>
      </c>
      <c r="V47" s="498" t="s">
        <v>281</v>
      </c>
      <c r="W47" s="498" t="s">
        <v>282</v>
      </c>
      <c r="X47" s="498" t="s">
        <v>283</v>
      </c>
      <c r="Y47" s="498" t="s">
        <v>284</v>
      </c>
      <c r="Z47" s="498" t="s">
        <v>644</v>
      </c>
      <c r="AB47" s="482" t="s">
        <v>922</v>
      </c>
      <c r="AC47" s="498" t="s">
        <v>279</v>
      </c>
      <c r="AD47" s="498" t="s">
        <v>910</v>
      </c>
      <c r="AE47" s="498" t="s">
        <v>281</v>
      </c>
      <c r="AF47" s="498" t="s">
        <v>282</v>
      </c>
      <c r="AG47" s="498" t="s">
        <v>283</v>
      </c>
      <c r="AH47" s="498" t="s">
        <v>284</v>
      </c>
      <c r="AI47" s="498" t="s">
        <v>644</v>
      </c>
    </row>
    <row r="48" spans="1:35" x14ac:dyDescent="0.2">
      <c r="A48" s="481" t="s">
        <v>541</v>
      </c>
      <c r="B48" s="480">
        <v>150323.85714285713</v>
      </c>
      <c r="C48" s="480"/>
      <c r="D48" s="480">
        <v>223500</v>
      </c>
      <c r="E48" s="480">
        <v>156000</v>
      </c>
      <c r="F48" s="480"/>
      <c r="G48" s="480">
        <v>160166.66666666666</v>
      </c>
      <c r="H48" s="480">
        <v>174251</v>
      </c>
      <c r="J48" s="481" t="s">
        <v>541</v>
      </c>
      <c r="K48" s="483"/>
      <c r="L48" s="483"/>
      <c r="M48" s="483"/>
      <c r="N48" s="483"/>
      <c r="O48" s="483"/>
      <c r="P48" s="483"/>
      <c r="Q48" s="483"/>
      <c r="S48" s="481" t="s">
        <v>541</v>
      </c>
      <c r="T48" s="483">
        <v>172244.71428571429</v>
      </c>
      <c r="U48" s="483"/>
      <c r="V48" s="483">
        <v>191350.3</v>
      </c>
      <c r="W48" s="483">
        <v>255240.5</v>
      </c>
      <c r="X48" s="483">
        <v>91750</v>
      </c>
      <c r="Y48" s="483"/>
      <c r="Z48" s="483">
        <v>177646.37857142856</v>
      </c>
      <c r="AB48" s="481" t="s">
        <v>541</v>
      </c>
      <c r="AC48" s="483">
        <v>150323.85714285713</v>
      </c>
      <c r="AD48" s="483"/>
      <c r="AE48" s="483">
        <v>223500</v>
      </c>
      <c r="AF48" s="483">
        <v>156000</v>
      </c>
      <c r="AG48" s="483"/>
      <c r="AH48" s="483">
        <v>160166.66666666666</v>
      </c>
      <c r="AI48" s="483">
        <v>174251</v>
      </c>
    </row>
    <row r="49" spans="1:35" x14ac:dyDescent="0.2">
      <c r="A49" s="481" t="s">
        <v>543</v>
      </c>
      <c r="B49" s="480">
        <v>126482.27272727272</v>
      </c>
      <c r="C49" s="480"/>
      <c r="D49" s="480">
        <v>174842.30769230769</v>
      </c>
      <c r="E49" s="480">
        <v>181842.85714285713</v>
      </c>
      <c r="F49" s="480">
        <v>114570</v>
      </c>
      <c r="G49" s="480">
        <v>79000</v>
      </c>
      <c r="H49" s="480">
        <v>151692.78688524591</v>
      </c>
      <c r="J49" s="481" t="s">
        <v>543</v>
      </c>
      <c r="K49" s="483"/>
      <c r="L49" s="483"/>
      <c r="M49" s="483"/>
      <c r="N49" s="483"/>
      <c r="O49" s="483"/>
      <c r="P49" s="483"/>
      <c r="Q49" s="483"/>
      <c r="S49" s="481" t="s">
        <v>543</v>
      </c>
      <c r="T49" s="483">
        <v>143467.39130434784</v>
      </c>
      <c r="U49" s="483"/>
      <c r="V49" s="483">
        <v>167167.64705882352</v>
      </c>
      <c r="W49" s="483">
        <v>256486.25</v>
      </c>
      <c r="X49" s="483">
        <v>123805.55555555556</v>
      </c>
      <c r="Y49" s="483">
        <v>194166.66666666666</v>
      </c>
      <c r="Z49" s="483">
        <v>177018.70211707873</v>
      </c>
      <c r="AB49" s="481" t="s">
        <v>543</v>
      </c>
      <c r="AC49" s="483">
        <v>126482.27272727272</v>
      </c>
      <c r="AD49" s="483"/>
      <c r="AE49" s="483">
        <v>174842.30769230769</v>
      </c>
      <c r="AF49" s="483">
        <v>181842.85714285713</v>
      </c>
      <c r="AG49" s="483">
        <v>114570</v>
      </c>
      <c r="AH49" s="483">
        <v>79000</v>
      </c>
      <c r="AI49" s="483">
        <v>151692.78688524591</v>
      </c>
    </row>
    <row r="50" spans="1:35" x14ac:dyDescent="0.2">
      <c r="A50" s="481" t="s">
        <v>279</v>
      </c>
      <c r="B50" s="480">
        <v>143113.51861702127</v>
      </c>
      <c r="C50" s="480"/>
      <c r="D50" s="480">
        <v>208289.66666666666</v>
      </c>
      <c r="E50" s="480"/>
      <c r="F50" s="480">
        <v>104000</v>
      </c>
      <c r="G50" s="480"/>
      <c r="H50" s="480">
        <v>145192.4759493671</v>
      </c>
      <c r="J50" s="481" t="s">
        <v>279</v>
      </c>
      <c r="K50" s="483">
        <v>141046.31363636363</v>
      </c>
      <c r="L50" s="483">
        <v>0</v>
      </c>
      <c r="M50" s="483">
        <v>221750</v>
      </c>
      <c r="N50" s="483">
        <v>0</v>
      </c>
      <c r="O50" s="483">
        <v>0</v>
      </c>
      <c r="P50" s="483">
        <v>0</v>
      </c>
      <c r="Q50" s="483">
        <v>141773.37387387388</v>
      </c>
      <c r="S50" s="481" t="s">
        <v>279</v>
      </c>
      <c r="T50" s="483">
        <v>156397.58389261746</v>
      </c>
      <c r="U50" s="483">
        <v>140000</v>
      </c>
      <c r="V50" s="483">
        <v>183252.38095238095</v>
      </c>
      <c r="W50" s="483"/>
      <c r="X50" s="483">
        <v>145600</v>
      </c>
      <c r="Y50" s="483">
        <v>163750</v>
      </c>
      <c r="Z50" s="483">
        <v>157799.99296899969</v>
      </c>
      <c r="AB50" s="481" t="s">
        <v>279</v>
      </c>
      <c r="AC50" s="483">
        <v>146028.80769230769</v>
      </c>
      <c r="AD50" s="483"/>
      <c r="AE50" s="483">
        <v>206218.84615384616</v>
      </c>
      <c r="AF50" s="483"/>
      <c r="AG50" s="483">
        <v>104000</v>
      </c>
      <c r="AH50" s="483"/>
      <c r="AI50" s="483">
        <v>149579.99421965319</v>
      </c>
    </row>
    <row r="51" spans="1:35" x14ac:dyDescent="0.2">
      <c r="A51" s="481" t="s">
        <v>910</v>
      </c>
      <c r="B51" s="480"/>
      <c r="C51" s="480">
        <v>160000</v>
      </c>
      <c r="D51" s="480">
        <v>181000</v>
      </c>
      <c r="E51" s="480"/>
      <c r="F51" s="480"/>
      <c r="G51" s="480"/>
      <c r="H51" s="480">
        <v>162100</v>
      </c>
      <c r="J51" s="481" t="s">
        <v>910</v>
      </c>
      <c r="K51" s="483">
        <v>0</v>
      </c>
      <c r="L51" s="483">
        <v>167562.5</v>
      </c>
      <c r="M51" s="483">
        <v>0</v>
      </c>
      <c r="N51" s="483">
        <v>0</v>
      </c>
      <c r="O51" s="483">
        <v>0</v>
      </c>
      <c r="P51" s="483">
        <v>0</v>
      </c>
      <c r="Q51" s="483">
        <v>167562.5</v>
      </c>
      <c r="S51" s="481" t="s">
        <v>910</v>
      </c>
      <c r="T51" s="483"/>
      <c r="U51" s="483">
        <v>144000</v>
      </c>
      <c r="V51" s="483"/>
      <c r="W51" s="483"/>
      <c r="X51" s="483"/>
      <c r="Y51" s="483">
        <v>127000</v>
      </c>
      <c r="Z51" s="483">
        <v>135500</v>
      </c>
      <c r="AB51" s="481" t="s">
        <v>910</v>
      </c>
      <c r="AC51" s="483"/>
      <c r="AD51" s="483">
        <v>99500</v>
      </c>
      <c r="AE51" s="483">
        <v>181000</v>
      </c>
      <c r="AF51" s="483"/>
      <c r="AG51" s="483"/>
      <c r="AH51" s="483"/>
      <c r="AI51" s="483">
        <v>140250</v>
      </c>
    </row>
    <row r="52" spans="1:35" x14ac:dyDescent="0.2">
      <c r="A52" s="481" t="s">
        <v>914</v>
      </c>
      <c r="B52" s="480">
        <v>249998.75</v>
      </c>
      <c r="C52" s="480"/>
      <c r="D52" s="480">
        <v>128187.8</v>
      </c>
      <c r="E52" s="480">
        <v>241606.25</v>
      </c>
      <c r="F52" s="480"/>
      <c r="G52" s="480">
        <v>395000</v>
      </c>
      <c r="H52" s="480">
        <v>214454.21428571429</v>
      </c>
      <c r="J52" s="481" t="s">
        <v>914</v>
      </c>
      <c r="K52" s="499"/>
      <c r="L52" s="500"/>
      <c r="M52" s="500"/>
      <c r="N52" s="500"/>
      <c r="O52" s="500"/>
      <c r="P52" s="500"/>
      <c r="Q52" s="501"/>
      <c r="S52" s="481" t="s">
        <v>914</v>
      </c>
      <c r="T52" s="639"/>
      <c r="U52" s="640"/>
      <c r="V52" s="640"/>
      <c r="W52" s="640"/>
      <c r="X52" s="640"/>
      <c r="Y52" s="640"/>
      <c r="Z52" s="641"/>
      <c r="AB52" s="481" t="s">
        <v>914</v>
      </c>
      <c r="AC52" s="483">
        <v>249998.75</v>
      </c>
      <c r="AD52" s="483"/>
      <c r="AE52" s="483">
        <v>128187.8</v>
      </c>
      <c r="AF52" s="483">
        <v>241606.25</v>
      </c>
      <c r="AG52" s="483"/>
      <c r="AH52" s="483">
        <v>395000</v>
      </c>
      <c r="AI52" s="483">
        <v>214454.21428571429</v>
      </c>
    </row>
    <row r="53" spans="1:35" x14ac:dyDescent="0.2">
      <c r="A53" s="481" t="s">
        <v>281</v>
      </c>
      <c r="B53" s="480">
        <v>121780.48780487805</v>
      </c>
      <c r="C53" s="480"/>
      <c r="D53" s="480">
        <v>162069.11257763975</v>
      </c>
      <c r="E53" s="480">
        <v>187315.21739130435</v>
      </c>
      <c r="F53" s="480">
        <v>211512.85714285713</v>
      </c>
      <c r="G53" s="480">
        <v>158642.30769230769</v>
      </c>
      <c r="H53" s="480">
        <v>161508.16836734695</v>
      </c>
      <c r="J53" s="481" t="s">
        <v>281</v>
      </c>
      <c r="K53" s="483">
        <v>0</v>
      </c>
      <c r="L53" s="483">
        <v>0</v>
      </c>
      <c r="M53" s="483">
        <v>154249.04769230768</v>
      </c>
      <c r="N53" s="483">
        <v>0</v>
      </c>
      <c r="O53" s="483">
        <v>0</v>
      </c>
      <c r="P53" s="483">
        <v>0</v>
      </c>
      <c r="Q53" s="483">
        <v>154249.04769230768</v>
      </c>
      <c r="S53" s="481" t="s">
        <v>281</v>
      </c>
      <c r="T53" s="483">
        <v>147100.53571428571</v>
      </c>
      <c r="U53" s="483"/>
      <c r="V53" s="483">
        <v>167978.72202166065</v>
      </c>
      <c r="W53" s="483">
        <v>187257.8125</v>
      </c>
      <c r="X53" s="483">
        <v>133325</v>
      </c>
      <c r="Y53" s="483">
        <v>147000</v>
      </c>
      <c r="Z53" s="483">
        <v>156532.41404718926</v>
      </c>
      <c r="AB53" s="481" t="s">
        <v>281</v>
      </c>
      <c r="AC53" s="483">
        <v>121780.48780487805</v>
      </c>
      <c r="AD53" s="483"/>
      <c r="AE53" s="483">
        <v>170036.26332288401</v>
      </c>
      <c r="AF53" s="483">
        <v>187315.21739130435</v>
      </c>
      <c r="AG53" s="483">
        <v>211512.85714285713</v>
      </c>
      <c r="AH53" s="483">
        <v>158642.30769230769</v>
      </c>
      <c r="AI53" s="483">
        <v>168043.38781163434</v>
      </c>
    </row>
    <row r="54" spans="1:35" x14ac:dyDescent="0.2">
      <c r="A54" s="481" t="s">
        <v>282</v>
      </c>
      <c r="B54" s="480">
        <v>130000</v>
      </c>
      <c r="C54" s="480"/>
      <c r="D54" s="480">
        <v>192442.56862745099</v>
      </c>
      <c r="E54" s="480">
        <v>167776.13348416288</v>
      </c>
      <c r="F54" s="480">
        <v>146250</v>
      </c>
      <c r="G54" s="480"/>
      <c r="H54" s="480">
        <v>169828.24400000001</v>
      </c>
      <c r="J54" s="481" t="s">
        <v>282</v>
      </c>
      <c r="K54" s="483">
        <v>0</v>
      </c>
      <c r="L54" s="483">
        <v>0</v>
      </c>
      <c r="M54" s="483">
        <v>0</v>
      </c>
      <c r="N54" s="483">
        <v>173046.50957854406</v>
      </c>
      <c r="O54" s="483">
        <v>0</v>
      </c>
      <c r="P54" s="483">
        <v>0</v>
      </c>
      <c r="Q54" s="483">
        <v>173046.50957854406</v>
      </c>
      <c r="S54" s="481" t="s">
        <v>282</v>
      </c>
      <c r="T54" s="483">
        <v>39500</v>
      </c>
      <c r="U54" s="483"/>
      <c r="V54" s="483">
        <v>177787.14285714287</v>
      </c>
      <c r="W54" s="483">
        <v>171007.3966480447</v>
      </c>
      <c r="X54" s="483">
        <v>113555.5</v>
      </c>
      <c r="Y54" s="483"/>
      <c r="Z54" s="483">
        <v>125462.50987629688</v>
      </c>
      <c r="AB54" s="481" t="s">
        <v>282</v>
      </c>
      <c r="AC54" s="483">
        <v>130000</v>
      </c>
      <c r="AD54" s="483"/>
      <c r="AE54" s="483">
        <v>192442.56862745099</v>
      </c>
      <c r="AF54" s="483">
        <v>160176.30939226519</v>
      </c>
      <c r="AG54" s="483">
        <v>146250</v>
      </c>
      <c r="AH54" s="483"/>
      <c r="AI54" s="483">
        <v>166313.73640167364</v>
      </c>
    </row>
    <row r="55" spans="1:35" x14ac:dyDescent="0.2">
      <c r="A55" s="481" t="s">
        <v>535</v>
      </c>
      <c r="B55" s="480">
        <v>138585.71428571429</v>
      </c>
      <c r="C55" s="480">
        <v>110000</v>
      </c>
      <c r="D55" s="480">
        <v>193260.41666666666</v>
      </c>
      <c r="E55" s="480">
        <v>165845.93103448275</v>
      </c>
      <c r="F55" s="480">
        <v>47000</v>
      </c>
      <c r="G55" s="480">
        <v>103000</v>
      </c>
      <c r="H55" s="480">
        <v>165729.58208955225</v>
      </c>
      <c r="J55" s="481" t="s">
        <v>535</v>
      </c>
      <c r="K55" s="483"/>
      <c r="L55" s="483"/>
      <c r="M55" s="483"/>
      <c r="N55" s="483"/>
      <c r="O55" s="483"/>
      <c r="P55" s="483"/>
      <c r="Q55" s="483"/>
      <c r="S55" s="481" t="s">
        <v>535</v>
      </c>
      <c r="T55" s="483">
        <v>196900</v>
      </c>
      <c r="U55" s="483">
        <v>240000</v>
      </c>
      <c r="V55" s="483">
        <v>182276.82142857142</v>
      </c>
      <c r="W55" s="483">
        <v>172709.25925925927</v>
      </c>
      <c r="X55" s="483">
        <v>160500</v>
      </c>
      <c r="Y55" s="483">
        <v>203750</v>
      </c>
      <c r="Z55" s="483">
        <v>192689.34678130512</v>
      </c>
      <c r="AB55" s="481" t="s">
        <v>535</v>
      </c>
      <c r="AC55" s="483">
        <v>138585.71428571429</v>
      </c>
      <c r="AD55" s="483">
        <v>110000</v>
      </c>
      <c r="AE55" s="483">
        <v>193260.41666666666</v>
      </c>
      <c r="AF55" s="483">
        <v>165845.93103448275</v>
      </c>
      <c r="AG55" s="483">
        <v>47000</v>
      </c>
      <c r="AH55" s="483">
        <v>103000</v>
      </c>
      <c r="AI55" s="483">
        <v>165729.58208955225</v>
      </c>
    </row>
    <row r="56" spans="1:35" x14ac:dyDescent="0.2">
      <c r="A56" s="481" t="s">
        <v>283</v>
      </c>
      <c r="B56" s="480">
        <v>154000</v>
      </c>
      <c r="C56" s="480"/>
      <c r="D56" s="480">
        <v>150086.36363636365</v>
      </c>
      <c r="E56" s="480">
        <v>146666.66666666666</v>
      </c>
      <c r="F56" s="480">
        <v>153453.36986301371</v>
      </c>
      <c r="G56" s="480">
        <v>145000</v>
      </c>
      <c r="H56" s="480">
        <v>153042.01176470588</v>
      </c>
      <c r="J56" s="481" t="s">
        <v>283</v>
      </c>
      <c r="K56" s="483">
        <v>0</v>
      </c>
      <c r="L56" s="483">
        <v>0</v>
      </c>
      <c r="M56" s="483">
        <v>0</v>
      </c>
      <c r="N56" s="483">
        <v>0</v>
      </c>
      <c r="O56" s="483">
        <v>159677.93406593407</v>
      </c>
      <c r="P56" s="483">
        <v>0</v>
      </c>
      <c r="Q56" s="483">
        <v>159621.65217391305</v>
      </c>
      <c r="S56" s="481" t="s">
        <v>283</v>
      </c>
      <c r="T56" s="483">
        <v>90500</v>
      </c>
      <c r="U56" s="483"/>
      <c r="V56" s="483">
        <v>206166.66666666666</v>
      </c>
      <c r="W56" s="483"/>
      <c r="X56" s="483">
        <v>156432.4</v>
      </c>
      <c r="Y56" s="483">
        <v>91666.666666666672</v>
      </c>
      <c r="Z56" s="483">
        <v>136191.43333333332</v>
      </c>
      <c r="AB56" s="481" t="s">
        <v>283</v>
      </c>
      <c r="AC56" s="483">
        <v>154000</v>
      </c>
      <c r="AD56" s="483"/>
      <c r="AE56" s="483">
        <v>149645</v>
      </c>
      <c r="AF56" s="483">
        <v>146666.66666666666</v>
      </c>
      <c r="AG56" s="483">
        <v>143154.54545454544</v>
      </c>
      <c r="AH56" s="483">
        <v>145000</v>
      </c>
      <c r="AI56" s="483">
        <v>145281.41025641025</v>
      </c>
    </row>
    <row r="57" spans="1:35" x14ac:dyDescent="0.2">
      <c r="A57" s="481" t="s">
        <v>420</v>
      </c>
      <c r="B57" s="480">
        <v>131300</v>
      </c>
      <c r="C57" s="480"/>
      <c r="D57" s="480">
        <v>171490</v>
      </c>
      <c r="E57" s="480">
        <v>180000</v>
      </c>
      <c r="F57" s="480">
        <v>247250</v>
      </c>
      <c r="G57" s="480"/>
      <c r="H57" s="480">
        <v>182260.71428571429</v>
      </c>
      <c r="J57" s="481" t="s">
        <v>420</v>
      </c>
      <c r="K57" s="493"/>
      <c r="L57" s="494"/>
      <c r="M57" s="494"/>
      <c r="N57" s="494"/>
      <c r="O57" s="494"/>
      <c r="P57" s="494"/>
      <c r="Q57" s="495"/>
      <c r="S57" s="481" t="s">
        <v>420</v>
      </c>
      <c r="T57" s="483">
        <v>102916.66666666667</v>
      </c>
      <c r="U57" s="483">
        <v>111043.5</v>
      </c>
      <c r="V57" s="483">
        <v>137342.85714285713</v>
      </c>
      <c r="W57" s="483">
        <v>229950</v>
      </c>
      <c r="X57" s="483">
        <v>440000</v>
      </c>
      <c r="Y57" s="483">
        <v>190000</v>
      </c>
      <c r="Z57" s="483">
        <v>201875.50396825396</v>
      </c>
      <c r="AB57" s="481" t="s">
        <v>420</v>
      </c>
      <c r="AC57" s="483">
        <v>131300</v>
      </c>
      <c r="AD57" s="483"/>
      <c r="AE57" s="483">
        <v>171490</v>
      </c>
      <c r="AF57" s="483">
        <v>180000</v>
      </c>
      <c r="AG57" s="483">
        <v>247250</v>
      </c>
      <c r="AH57" s="483"/>
      <c r="AI57" s="483">
        <v>182260.71428571429</v>
      </c>
    </row>
    <row r="58" spans="1:35" x14ac:dyDescent="0.2">
      <c r="A58" s="481" t="s">
        <v>915</v>
      </c>
      <c r="B58" s="480">
        <v>165218.33333333334</v>
      </c>
      <c r="C58" s="480">
        <v>237137</v>
      </c>
      <c r="D58" s="480">
        <v>155144.6</v>
      </c>
      <c r="E58" s="480">
        <v>202472.08333333334</v>
      </c>
      <c r="F58" s="480">
        <v>176416.66666666666</v>
      </c>
      <c r="G58" s="480">
        <v>169875</v>
      </c>
      <c r="H58" s="480">
        <v>168673.12328767125</v>
      </c>
      <c r="J58" s="481" t="s">
        <v>915</v>
      </c>
      <c r="K58" s="483">
        <v>125000</v>
      </c>
      <c r="L58" s="483">
        <v>0</v>
      </c>
      <c r="M58" s="483">
        <v>210616.66666666666</v>
      </c>
      <c r="N58" s="483">
        <v>185000</v>
      </c>
      <c r="O58" s="483">
        <v>171000</v>
      </c>
      <c r="P58" s="483">
        <v>0</v>
      </c>
      <c r="Q58" s="483">
        <v>190053.84615384616</v>
      </c>
      <c r="S58" s="481" t="s">
        <v>915</v>
      </c>
      <c r="T58" s="483">
        <v>136666.66666666666</v>
      </c>
      <c r="U58" s="483">
        <v>165000</v>
      </c>
      <c r="V58" s="483">
        <v>191166.71666666667</v>
      </c>
      <c r="W58" s="483">
        <v>194817</v>
      </c>
      <c r="X58" s="483">
        <v>192281.25</v>
      </c>
      <c r="Y58" s="483">
        <v>178041.66666666666</v>
      </c>
      <c r="Z58" s="483">
        <v>176328.88333333333</v>
      </c>
      <c r="AB58" s="481" t="s">
        <v>915</v>
      </c>
      <c r="AC58" s="483">
        <v>168091.07142857142</v>
      </c>
      <c r="AD58" s="483">
        <v>237137</v>
      </c>
      <c r="AE58" s="483">
        <v>143667.62068965516</v>
      </c>
      <c r="AF58" s="483">
        <v>211208.125</v>
      </c>
      <c r="AG58" s="483">
        <v>179125</v>
      </c>
      <c r="AH58" s="483">
        <v>169875</v>
      </c>
      <c r="AI58" s="483">
        <v>164040.63333333333</v>
      </c>
    </row>
    <row r="59" spans="1:35" x14ac:dyDescent="0.2">
      <c r="A59" s="481" t="s">
        <v>912</v>
      </c>
      <c r="B59" s="480">
        <v>130029.35294117648</v>
      </c>
      <c r="C59" s="480">
        <v>159666.66666666666</v>
      </c>
      <c r="D59" s="480">
        <v>201349.92753623187</v>
      </c>
      <c r="E59" s="480">
        <v>233342</v>
      </c>
      <c r="F59" s="480">
        <v>220600</v>
      </c>
      <c r="G59" s="480">
        <v>177611.11111111112</v>
      </c>
      <c r="H59" s="480">
        <v>195348.5072463768</v>
      </c>
      <c r="J59" s="481" t="s">
        <v>912</v>
      </c>
      <c r="K59" s="483">
        <v>0</v>
      </c>
      <c r="L59" s="483">
        <v>0</v>
      </c>
      <c r="M59" s="483">
        <v>0</v>
      </c>
      <c r="N59" s="483">
        <v>157333.33333333334</v>
      </c>
      <c r="O59" s="483">
        <v>0</v>
      </c>
      <c r="P59" s="483">
        <v>0</v>
      </c>
      <c r="Q59" s="483">
        <v>157333.33333333334</v>
      </c>
      <c r="S59" s="481" t="s">
        <v>912</v>
      </c>
      <c r="T59" s="483">
        <v>160000</v>
      </c>
      <c r="U59" s="483">
        <v>267500</v>
      </c>
      <c r="V59" s="483">
        <v>128853.4051724138</v>
      </c>
      <c r="W59" s="483">
        <v>167367.97500000001</v>
      </c>
      <c r="X59" s="483">
        <v>223300</v>
      </c>
      <c r="Y59" s="483">
        <v>243194.44444444444</v>
      </c>
      <c r="Z59" s="483">
        <v>198369.30410280972</v>
      </c>
      <c r="AB59" s="481" t="s">
        <v>912</v>
      </c>
      <c r="AC59" s="483">
        <v>130029.35294117648</v>
      </c>
      <c r="AD59" s="483">
        <v>159666.66666666666</v>
      </c>
      <c r="AE59" s="483">
        <v>201349.92753623187</v>
      </c>
      <c r="AF59" s="483">
        <v>243706.81818181818</v>
      </c>
      <c r="AG59" s="483">
        <v>220600</v>
      </c>
      <c r="AH59" s="483">
        <v>177611.11111111112</v>
      </c>
      <c r="AI59" s="483">
        <v>196193.2888888889</v>
      </c>
    </row>
    <row r="60" spans="1:35" x14ac:dyDescent="0.2">
      <c r="A60" s="481" t="s">
        <v>284</v>
      </c>
      <c r="B60" s="480">
        <v>158333.33333333334</v>
      </c>
      <c r="C60" s="480">
        <v>155250</v>
      </c>
      <c r="D60" s="480">
        <v>156518.18181818182</v>
      </c>
      <c r="E60" s="480">
        <v>340000</v>
      </c>
      <c r="F60" s="480">
        <v>104500</v>
      </c>
      <c r="G60" s="480">
        <v>159507.23870967742</v>
      </c>
      <c r="H60" s="480">
        <v>159158.84656084655</v>
      </c>
      <c r="J60" s="481" t="s">
        <v>284</v>
      </c>
      <c r="K60" s="483">
        <v>0</v>
      </c>
      <c r="L60" s="483">
        <v>0</v>
      </c>
      <c r="M60" s="483">
        <v>0</v>
      </c>
      <c r="N60" s="483">
        <v>0</v>
      </c>
      <c r="O60" s="483">
        <v>0</v>
      </c>
      <c r="P60" s="483">
        <v>161922.20388349515</v>
      </c>
      <c r="Q60" s="483">
        <v>161922.20388349515</v>
      </c>
      <c r="S60" s="481" t="s">
        <v>284</v>
      </c>
      <c r="T60" s="483">
        <v>139428.57142857142</v>
      </c>
      <c r="U60" s="483"/>
      <c r="V60" s="483">
        <v>212626.92307692306</v>
      </c>
      <c r="W60" s="483">
        <v>190666.66666666666</v>
      </c>
      <c r="X60" s="483">
        <v>142000</v>
      </c>
      <c r="Y60" s="483">
        <v>148786.32727272727</v>
      </c>
      <c r="Z60" s="483">
        <v>166701.69768897767</v>
      </c>
      <c r="AB60" s="481" t="s">
        <v>284</v>
      </c>
      <c r="AC60" s="483">
        <v>158333.33333333334</v>
      </c>
      <c r="AD60" s="483">
        <v>155250</v>
      </c>
      <c r="AE60" s="483">
        <v>156518.18181818182</v>
      </c>
      <c r="AF60" s="483">
        <v>340000</v>
      </c>
      <c r="AG60" s="483">
        <v>104500</v>
      </c>
      <c r="AH60" s="483">
        <v>154723.75</v>
      </c>
      <c r="AI60" s="483">
        <v>155849.2441860465</v>
      </c>
    </row>
    <row r="61" spans="1:35" x14ac:dyDescent="0.2">
      <c r="A61" s="481" t="s">
        <v>923</v>
      </c>
      <c r="B61" s="480">
        <v>210000</v>
      </c>
      <c r="C61" s="480">
        <v>46800</v>
      </c>
      <c r="D61" s="480">
        <v>174000</v>
      </c>
      <c r="E61" s="480">
        <v>275066.66666666669</v>
      </c>
      <c r="F61" s="480"/>
      <c r="G61" s="480"/>
      <c r="H61" s="480">
        <v>204285.71428571429</v>
      </c>
      <c r="J61" s="481" t="s">
        <v>923</v>
      </c>
      <c r="K61" s="493"/>
      <c r="L61" s="494"/>
      <c r="M61" s="494"/>
      <c r="N61" s="494"/>
      <c r="O61" s="494"/>
      <c r="P61" s="494"/>
      <c r="Q61" s="495"/>
      <c r="S61" s="481" t="s">
        <v>923</v>
      </c>
      <c r="T61" s="483">
        <v>198333.33333333334</v>
      </c>
      <c r="U61" s="483">
        <v>120000</v>
      </c>
      <c r="V61" s="483">
        <v>250300</v>
      </c>
      <c r="W61" s="483">
        <v>272428.57142857142</v>
      </c>
      <c r="X61" s="483"/>
      <c r="Y61" s="483">
        <v>278500</v>
      </c>
      <c r="Z61" s="483">
        <v>223912.38095238098</v>
      </c>
      <c r="AB61" s="481" t="s">
        <v>923</v>
      </c>
      <c r="AC61" s="483">
        <v>210000</v>
      </c>
      <c r="AD61" s="483">
        <v>46800</v>
      </c>
      <c r="AE61" s="483">
        <v>174000</v>
      </c>
      <c r="AF61" s="483">
        <v>275066.66666666669</v>
      </c>
      <c r="AG61" s="483"/>
      <c r="AH61" s="483"/>
      <c r="AI61" s="483">
        <v>204285.71428571429</v>
      </c>
    </row>
    <row r="62" spans="1:35" x14ac:dyDescent="0.2">
      <c r="A62" s="481" t="s">
        <v>644</v>
      </c>
      <c r="B62" s="496">
        <v>142168.53891050583</v>
      </c>
      <c r="C62" s="496">
        <v>148009.11538461538</v>
      </c>
      <c r="D62" s="496">
        <v>165777.40422805893</v>
      </c>
      <c r="E62" s="496">
        <v>174233.82522522521</v>
      </c>
      <c r="F62" s="496">
        <v>158072.36363636365</v>
      </c>
      <c r="G62" s="496">
        <v>160300.90052356021</v>
      </c>
      <c r="H62" s="496">
        <v>162352.72610415294</v>
      </c>
      <c r="J62" s="481" t="s">
        <v>644</v>
      </c>
      <c r="K62" s="483">
        <v>140973.70588235295</v>
      </c>
      <c r="L62" s="483">
        <v>167562.5</v>
      </c>
      <c r="M62" s="483">
        <v>154967.49772382397</v>
      </c>
      <c r="N62" s="483">
        <v>173049.02611940299</v>
      </c>
      <c r="O62" s="483">
        <v>159921.4193548387</v>
      </c>
      <c r="P62" s="483">
        <v>161922.20388349515</v>
      </c>
      <c r="Q62" s="483">
        <v>157209.38461538462</v>
      </c>
      <c r="S62" s="481" t="s">
        <v>644</v>
      </c>
      <c r="T62" s="483">
        <v>152747.3088235294</v>
      </c>
      <c r="U62" s="483">
        <v>166391.30769230769</v>
      </c>
      <c r="V62" s="483">
        <v>171539.43741935483</v>
      </c>
      <c r="W62" s="483">
        <v>183324.5198019802</v>
      </c>
      <c r="X62" s="483">
        <v>156950.36440677967</v>
      </c>
      <c r="Y62" s="483">
        <v>181091.28695652174</v>
      </c>
      <c r="Z62" s="483">
        <v>168674.03751674559</v>
      </c>
      <c r="AB62" s="481" t="s">
        <v>644</v>
      </c>
      <c r="AC62" s="483">
        <v>143069.76109215018</v>
      </c>
      <c r="AD62" s="483">
        <v>139318.72222222222</v>
      </c>
      <c r="AE62" s="483">
        <v>173675.10753880267</v>
      </c>
      <c r="AF62" s="483">
        <v>175340.1881533101</v>
      </c>
      <c r="AG62" s="483">
        <v>156242.97872340426</v>
      </c>
      <c r="AH62" s="483">
        <v>158403.23863636365</v>
      </c>
      <c r="AI62" s="483">
        <v>166486.96967895364</v>
      </c>
    </row>
    <row r="63" spans="1:35" x14ac:dyDescent="0.2">
      <c r="AC63" s="462"/>
      <c r="AD63" s="462"/>
      <c r="AE63" s="462"/>
      <c r="AF63" s="462"/>
      <c r="AG63" s="462"/>
      <c r="AH63" s="462"/>
      <c r="AI63" s="462"/>
    </row>
    <row r="65" spans="1:8" ht="15" x14ac:dyDescent="0.25">
      <c r="A65" s="502" t="s">
        <v>942</v>
      </c>
    </row>
    <row r="66" spans="1:8" ht="15" x14ac:dyDescent="0.25">
      <c r="A66" s="484"/>
      <c r="B66" s="498" t="s">
        <v>279</v>
      </c>
      <c r="C66" s="498" t="s">
        <v>924</v>
      </c>
      <c r="D66" s="498" t="s">
        <v>281</v>
      </c>
      <c r="E66" s="498" t="s">
        <v>282</v>
      </c>
      <c r="F66" s="498" t="s">
        <v>283</v>
      </c>
      <c r="G66" s="498" t="s">
        <v>284</v>
      </c>
      <c r="H66" s="498" t="s">
        <v>38</v>
      </c>
    </row>
    <row r="67" spans="1:8" x14ac:dyDescent="0.2">
      <c r="A67" s="481" t="s">
        <v>279</v>
      </c>
      <c r="B67" s="490">
        <v>0.55594316948238198</v>
      </c>
      <c r="C67" s="488">
        <v>2.665109996201423E-2</v>
      </c>
      <c r="D67" s="488">
        <v>1.9912888589981859E-2</v>
      </c>
      <c r="E67" s="488">
        <v>3.5744694526373385E-3</v>
      </c>
      <c r="F67" s="488">
        <v>3.8030990196842009E-2</v>
      </c>
      <c r="G67" s="488">
        <v>1.3633751838302162E-2</v>
      </c>
      <c r="H67" s="490">
        <v>0.10912526310037501</v>
      </c>
    </row>
    <row r="68" spans="1:8" x14ac:dyDescent="0.2">
      <c r="A68" s="481" t="s">
        <v>910</v>
      </c>
      <c r="B68" s="489">
        <v>0</v>
      </c>
      <c r="C68" s="490">
        <v>0.19627132071082407</v>
      </c>
      <c r="D68" s="488">
        <v>5.3133312064039301E-4</v>
      </c>
      <c r="E68" s="488">
        <v>0</v>
      </c>
      <c r="F68" s="488">
        <v>0</v>
      </c>
      <c r="G68" s="488">
        <v>8.3671170650903917E-3</v>
      </c>
      <c r="H68" s="490">
        <v>2.4307128494848204E-3</v>
      </c>
    </row>
    <row r="69" spans="1:8" x14ac:dyDescent="0.2">
      <c r="A69" s="481" t="s">
        <v>281</v>
      </c>
      <c r="B69" s="489">
        <v>0.11534641972857257</v>
      </c>
      <c r="C69" s="488">
        <v>0</v>
      </c>
      <c r="D69" s="490">
        <v>0.72284888594836361</v>
      </c>
      <c r="E69" s="488">
        <v>8.2857377943805516E-2</v>
      </c>
      <c r="F69" s="488">
        <v>7.2128525341971575E-2</v>
      </c>
      <c r="G69" s="488">
        <v>8.4652192830880241E-2</v>
      </c>
      <c r="H69" s="490">
        <v>0.4124585089022752</v>
      </c>
    </row>
    <row r="70" spans="1:8" x14ac:dyDescent="0.2">
      <c r="A70" s="481" t="s">
        <v>282</v>
      </c>
      <c r="B70" s="489">
        <v>1.0181972577580124E-2</v>
      </c>
      <c r="C70" s="488">
        <v>2.6292887025574776E-2</v>
      </c>
      <c r="D70" s="488">
        <v>4.5269472574442977E-2</v>
      </c>
      <c r="E70" s="490">
        <v>0.58656212679938557</v>
      </c>
      <c r="F70" s="488">
        <v>1.3643571664161611E-2</v>
      </c>
      <c r="G70" s="488">
        <v>3.3626257202341446E-3</v>
      </c>
      <c r="H70" s="490">
        <v>0.13437376237178705</v>
      </c>
    </row>
    <row r="71" spans="1:8" x14ac:dyDescent="0.2">
      <c r="A71" s="481" t="s">
        <v>283</v>
      </c>
      <c r="B71" s="489">
        <v>2.3919662009254553E-2</v>
      </c>
      <c r="C71" s="488">
        <v>2.7452308636980921E-2</v>
      </c>
      <c r="D71" s="488">
        <v>9.8098608643065795E-3</v>
      </c>
      <c r="E71" s="488">
        <v>3.6819282794001511E-3</v>
      </c>
      <c r="F71" s="490">
        <v>0.56214843746652532</v>
      </c>
      <c r="G71" s="488">
        <v>5.1075018062246014E-2</v>
      </c>
      <c r="H71" s="490">
        <v>4.9047297775079789E-2</v>
      </c>
    </row>
    <row r="72" spans="1:8" x14ac:dyDescent="0.2">
      <c r="A72" s="481" t="s">
        <v>284</v>
      </c>
      <c r="B72" s="489">
        <v>2.0475457276591297E-2</v>
      </c>
      <c r="C72" s="488">
        <v>5.2873731574942615E-2</v>
      </c>
      <c r="D72" s="488">
        <v>2.2329274050615376E-2</v>
      </c>
      <c r="E72" s="488">
        <v>4.7276482304283562E-3</v>
      </c>
      <c r="F72" s="488">
        <v>2.4006995772035369E-2</v>
      </c>
      <c r="G72" s="490">
        <v>0.54772836977557027</v>
      </c>
      <c r="H72" s="490">
        <v>5.3039789614658966E-2</v>
      </c>
    </row>
    <row r="73" spans="1:8" x14ac:dyDescent="0.2">
      <c r="A73" s="481" t="s">
        <v>535</v>
      </c>
      <c r="B73" s="489">
        <v>1.6843165157070492E-2</v>
      </c>
      <c r="C73" s="488">
        <v>0.1070623287165901</v>
      </c>
      <c r="D73" s="488">
        <v>2.8693394125975054E-2</v>
      </c>
      <c r="E73" s="488">
        <v>9.8121853550233826E-2</v>
      </c>
      <c r="F73" s="488">
        <v>1.3888856641684185E-2</v>
      </c>
      <c r="G73" s="488">
        <v>4.7923108995652205E-2</v>
      </c>
      <c r="H73" s="488">
        <v>4.0440203915290421E-2</v>
      </c>
    </row>
    <row r="74" spans="1:8" x14ac:dyDescent="0.2">
      <c r="A74" s="481" t="s">
        <v>543</v>
      </c>
      <c r="B74" s="489">
        <v>7.8860500100709691E-2</v>
      </c>
      <c r="C74" s="488">
        <v>2.6971213773520106E-3</v>
      </c>
      <c r="D74" s="488">
        <v>2.7628777096585354E-2</v>
      </c>
      <c r="E74" s="488">
        <v>2.5256896077493554E-2</v>
      </c>
      <c r="F74" s="488">
        <v>0.11226054298865501</v>
      </c>
      <c r="G74" s="488">
        <v>5.086505365785754E-2</v>
      </c>
      <c r="H74" s="488">
        <v>4.2609435565002872E-2</v>
      </c>
    </row>
    <row r="75" spans="1:8" x14ac:dyDescent="0.2">
      <c r="A75" s="481" t="s">
        <v>915</v>
      </c>
      <c r="B75" s="488">
        <v>8.8582736879357998E-2</v>
      </c>
      <c r="C75" s="490">
        <v>0.13319777957893933</v>
      </c>
      <c r="D75" s="488">
        <v>4.7801782090046908E-2</v>
      </c>
      <c r="E75" s="488">
        <v>7.2230507102143598E-2</v>
      </c>
      <c r="F75" s="488">
        <v>8.2717829711442245E-2</v>
      </c>
      <c r="G75" s="488">
        <v>7.436557370259167E-2</v>
      </c>
      <c r="H75" s="488">
        <v>6.3910984892575462E-2</v>
      </c>
    </row>
    <row r="76" spans="1:8" x14ac:dyDescent="0.2">
      <c r="A76" s="481" t="s">
        <v>92</v>
      </c>
      <c r="B76" s="489">
        <v>7.8458224622984657E-2</v>
      </c>
      <c r="C76" s="490">
        <v>0.34907743159839266</v>
      </c>
      <c r="D76" s="488">
        <v>6.7106764572556432E-2</v>
      </c>
      <c r="E76" s="488">
        <v>0.10078190089736982</v>
      </c>
      <c r="F76" s="488">
        <v>8.1174250216682689E-2</v>
      </c>
      <c r="G76" s="488">
        <v>0.10799745946129337</v>
      </c>
      <c r="H76" s="488">
        <v>8.1125013447517061E-2</v>
      </c>
    </row>
    <row r="77" spans="1:8" x14ac:dyDescent="0.2">
      <c r="A77" s="481" t="s">
        <v>925</v>
      </c>
      <c r="B77" s="489">
        <v>1.1388692165497066E-2</v>
      </c>
      <c r="C77" s="490">
        <v>7.842399081838923E-2</v>
      </c>
      <c r="D77" s="488">
        <v>8.0675669664854455E-3</v>
      </c>
      <c r="E77" s="488">
        <v>2.2205291667102302E-2</v>
      </c>
      <c r="F77" s="488">
        <v>0</v>
      </c>
      <c r="G77" s="488">
        <v>1.002972889028177E-2</v>
      </c>
      <c r="H77" s="488">
        <v>1.1439027565953335E-2</v>
      </c>
    </row>
  </sheetData>
  <mergeCells count="3">
    <mergeCell ref="AC46:AI46"/>
    <mergeCell ref="T46:Z46"/>
    <mergeCell ref="T52:Z5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8551546-2f2a-4078-b446-f3f005cc7cd9">
      <UserInfo>
        <DisplayName>Rund Elian</DisplayName>
        <AccountId>1757</AccountId>
        <AccountType/>
      </UserInfo>
      <UserInfo>
        <DisplayName>Katy McBride</DisplayName>
        <AccountId>1979</AccountId>
        <AccountType/>
      </UserInfo>
    </SharedWithUsers>
    <TaxCatchAll xmlns="c8551546-2f2a-4078-b446-f3f005cc7cd9" xsi:nil="true"/>
    <lcf76f155ced4ddcb4097134ff3c332f xmlns="4e341917-e2fa-4ab5-8419-355d3050b87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B9F342D303DC044BC46BEEB399F8352" ma:contentTypeVersion="14" ma:contentTypeDescription="Create a new document." ma:contentTypeScope="" ma:versionID="72d475dad6bf895adeaf59bae8475d92">
  <xsd:schema xmlns:xsd="http://www.w3.org/2001/XMLSchema" xmlns:xs="http://www.w3.org/2001/XMLSchema" xmlns:p="http://schemas.microsoft.com/office/2006/metadata/properties" xmlns:ns2="4e341917-e2fa-4ab5-8419-355d3050b875" xmlns:ns3="c8551546-2f2a-4078-b446-f3f005cc7cd9" targetNamespace="http://schemas.microsoft.com/office/2006/metadata/properties" ma:root="true" ma:fieldsID="391b0342a16f9a6c3d046f96601ae191" ns2:_="" ns3:_="">
    <xsd:import namespace="4e341917-e2fa-4ab5-8419-355d3050b875"/>
    <xsd:import namespace="c8551546-2f2a-4078-b446-f3f005cc7cd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341917-e2fa-4ab5-8419-355d3050b8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2d0b6ba-3121-4b31-8f7b-022cbf07e87c"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551546-2f2a-4078-b446-f3f005cc7cd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103ef91-a761-41ba-aa5d-504858098153}" ma:internalName="TaxCatchAll" ma:showField="CatchAllData" ma:web="c8551546-2f2a-4078-b446-f3f005cc7cd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BBC1F1-8361-466C-9F0A-5EDA62C3C58B}">
  <ds:schemaRefs>
    <ds:schemaRef ds:uri="http://schemas.openxmlformats.org/package/2006/metadata/core-properties"/>
    <ds:schemaRef ds:uri="http://schemas.microsoft.com/office/2006/documentManagement/types"/>
    <ds:schemaRef ds:uri="http://schemas.microsoft.com/office/infopath/2007/PartnerControls"/>
    <ds:schemaRef ds:uri="4e341917-e2fa-4ab5-8419-355d3050b875"/>
    <ds:schemaRef ds:uri="http://purl.org/dc/elements/1.1/"/>
    <ds:schemaRef ds:uri="http://schemas.microsoft.com/office/2006/metadata/properties"/>
    <ds:schemaRef ds:uri="http://purl.org/dc/terms/"/>
    <ds:schemaRef ds:uri="c8551546-2f2a-4078-b446-f3f005cc7cd9"/>
    <ds:schemaRef ds:uri="http://www.w3.org/XML/1998/namespace"/>
    <ds:schemaRef ds:uri="http://purl.org/dc/dcmitype/"/>
  </ds:schemaRefs>
</ds:datastoreItem>
</file>

<file path=customXml/itemProps2.xml><?xml version="1.0" encoding="utf-8"?>
<ds:datastoreItem xmlns:ds="http://schemas.openxmlformats.org/officeDocument/2006/customXml" ds:itemID="{37D8CEB4-EB57-433C-8FF0-BA45F351834A}">
  <ds:schemaRefs>
    <ds:schemaRef ds:uri="http://schemas.microsoft.com/sharepoint/v3/contenttype/forms"/>
  </ds:schemaRefs>
</ds:datastoreItem>
</file>

<file path=customXml/itemProps3.xml><?xml version="1.0" encoding="utf-8"?>
<ds:datastoreItem xmlns:ds="http://schemas.openxmlformats.org/officeDocument/2006/customXml" ds:itemID="{B3271C9D-D77E-4991-9774-3E0EDED2AB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341917-e2fa-4ab5-8419-355d3050b875"/>
    <ds:schemaRef ds:uri="c8551546-2f2a-4078-b446-f3f005cc7cd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Contents</vt:lpstr>
      <vt:lpstr>Key Findings</vt:lpstr>
      <vt:lpstr>Sheet1</vt:lpstr>
      <vt:lpstr>1.1 Population Projections</vt:lpstr>
      <vt:lpstr>1.2-1.4 Household Projections</vt:lpstr>
      <vt:lpstr>Sheet2</vt:lpstr>
      <vt:lpstr>1.5 - 1.9 Housing Affordability</vt:lpstr>
      <vt:lpstr>1.10-1.26 Economic Data</vt:lpstr>
      <vt:lpstr>1.27-1.31 House Sales&amp;Prices </vt:lpstr>
      <vt:lpstr>Economic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Gillian Houston</dc:creator>
  <cp:keywords/>
  <dc:description/>
  <cp:lastModifiedBy>Donna Milton</cp:lastModifiedBy>
  <cp:revision/>
  <dcterms:created xsi:type="dcterms:W3CDTF">2020-10-27T12:30:26Z</dcterms:created>
  <dcterms:modified xsi:type="dcterms:W3CDTF">2023-11-28T14:30:06Z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0x0101009B9F342D303DC044BC46BEEB399F8352</vt:lpwstr>
  </property>
  <property fmtid="{D5CDD505-2E9C-101B-9397-08002B2CF9AE}" pid="3" name="Order">
    <vt:r8>763200</vt:r8>
  </property>
  <property fmtid="{D5CDD505-2E9C-101B-9397-08002B2CF9AE}" pid="4" name="MediaServiceImageTags">
    <vt:lpwstr/>
  </property>
</Properties>
</file>